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EOTECH\Temporary\BEL-147-25.88 (118147) Wall Design\"/>
    </mc:Choice>
  </mc:AlternateContent>
  <xr:revisionPtr revIDLastSave="0" documentId="13_ncr:1_{730637ED-E339-41AE-9581-AAF83ECB3A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art" sheetId="1" r:id="rId1"/>
    <sheet name="Lookups" sheetId="2" r:id="rId2"/>
  </sheets>
  <definedNames>
    <definedName name="E_w">Chart!$P$1</definedName>
    <definedName name="f_1">Lookups!$AE$17</definedName>
    <definedName name="p_a">Lookups!$AC$1</definedName>
    <definedName name="_xlnm.Print_Area" localSheetId="0">Chart!$A$1:$Q$22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" l="1"/>
  <c r="D7" i="1"/>
  <c r="O7" i="1" l="1"/>
  <c r="B22" i="1" l="1"/>
  <c r="K22" i="1" s="1"/>
  <c r="I13" i="1" l="1"/>
  <c r="I12" i="1"/>
  <c r="Q13" i="1" l="1"/>
  <c r="Q12" i="1"/>
  <c r="E19" i="1"/>
  <c r="D22" i="1"/>
  <c r="M19" i="1"/>
  <c r="O19" i="1" s="1"/>
  <c r="K13" i="1"/>
  <c r="K12" i="1"/>
  <c r="K19" i="1"/>
  <c r="V19" i="1" l="1"/>
  <c r="P19" i="1" s="1"/>
  <c r="Q19" i="1" s="1"/>
  <c r="I19" i="1"/>
  <c r="L19" i="1"/>
  <c r="N19" i="1" s="1"/>
  <c r="L13" i="1"/>
  <c r="L12" i="1"/>
  <c r="S13" i="1"/>
  <c r="S12" i="1"/>
  <c r="S11" i="1"/>
  <c r="S10" i="1"/>
  <c r="S9" i="1"/>
  <c r="S8" i="1"/>
  <c r="S7" i="1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85" i="2"/>
  <c r="AA56" i="2"/>
  <c r="AA55" i="2"/>
  <c r="AA54" i="2"/>
  <c r="T62" i="2"/>
  <c r="V62" i="2"/>
  <c r="V61" i="2"/>
  <c r="V60" i="2"/>
  <c r="V59" i="2"/>
  <c r="V58" i="2"/>
  <c r="V57" i="2"/>
  <c r="V56" i="2"/>
  <c r="V55" i="2"/>
  <c r="V54" i="2"/>
  <c r="T61" i="2"/>
  <c r="T60" i="2"/>
  <c r="T59" i="2"/>
  <c r="T58" i="2"/>
  <c r="T57" i="2"/>
  <c r="T56" i="2"/>
  <c r="T55" i="2"/>
  <c r="T54" i="2"/>
  <c r="X39" i="2"/>
  <c r="X47" i="2"/>
  <c r="X45" i="2"/>
  <c r="X43" i="2"/>
  <c r="X42" i="2"/>
  <c r="X41" i="2"/>
  <c r="X40" i="2"/>
  <c r="V44" i="2"/>
  <c r="X44" i="2" s="1"/>
  <c r="V46" i="2"/>
  <c r="X46" i="2" s="1"/>
  <c r="V48" i="2"/>
  <c r="X48" i="2" s="1"/>
  <c r="R45" i="2"/>
  <c r="S45" i="2" s="1"/>
  <c r="R43" i="2"/>
  <c r="R41" i="2"/>
  <c r="S41" i="2" s="1"/>
  <c r="R40" i="2"/>
  <c r="S40" i="2" s="1"/>
  <c r="R39" i="2"/>
  <c r="R42" i="2"/>
  <c r="S42" i="2" s="1"/>
  <c r="R47" i="2"/>
  <c r="S47" i="2" s="1"/>
  <c r="Q48" i="2"/>
  <c r="Q46" i="2"/>
  <c r="R46" i="2" s="1"/>
  <c r="Q44" i="2"/>
  <c r="S43" i="2"/>
  <c r="O39" i="2"/>
  <c r="L22" i="1" l="1"/>
  <c r="Q22" i="1"/>
  <c r="E22" i="1"/>
  <c r="V22" i="1" s="1"/>
  <c r="P22" i="1"/>
  <c r="O22" i="1"/>
  <c r="V20" i="1"/>
  <c r="N22" i="1"/>
  <c r="M22" i="1"/>
  <c r="I22" i="1"/>
  <c r="S46" i="2"/>
  <c r="R44" i="2"/>
  <c r="S44" i="2" s="1"/>
  <c r="R48" i="2"/>
  <c r="S48" i="2" s="1"/>
  <c r="D13" i="1"/>
  <c r="D12" i="1"/>
  <c r="N13" i="1"/>
  <c r="N12" i="1"/>
  <c r="AE28" i="2"/>
  <c r="A19" i="1" l="1"/>
  <c r="A20" i="1" s="1"/>
  <c r="A21" i="1" s="1"/>
  <c r="A22" i="1" s="1"/>
  <c r="V21" i="1"/>
  <c r="T12" i="1" l="1"/>
  <c r="U12" i="1"/>
  <c r="O12" i="1"/>
  <c r="T13" i="1"/>
  <c r="U13" i="1"/>
  <c r="O13" i="1"/>
  <c r="J13" i="1"/>
  <c r="J12" i="1"/>
  <c r="H13" i="1"/>
  <c r="H12" i="1"/>
  <c r="M13" i="1"/>
  <c r="M12" i="1"/>
  <c r="R13" i="1"/>
  <c r="R12" i="1"/>
  <c r="P13" i="1"/>
  <c r="P12" i="1"/>
  <c r="R18" i="2" l="1"/>
  <c r="R17" i="2"/>
  <c r="R6" i="2"/>
  <c r="B13" i="1" l="1"/>
  <c r="B12" i="1"/>
  <c r="V13" i="1"/>
  <c r="V12" i="1"/>
  <c r="AD13" i="2"/>
  <c r="AD12" i="2"/>
  <c r="AD11" i="2"/>
  <c r="AD10" i="2"/>
  <c r="AD9" i="2"/>
  <c r="AD8" i="2"/>
  <c r="AD7" i="2"/>
  <c r="AD6" i="2"/>
  <c r="AB20" i="2"/>
  <c r="AB19" i="2"/>
  <c r="AB18" i="2"/>
  <c r="AB17" i="2"/>
  <c r="AB16" i="2"/>
  <c r="AC13" i="2"/>
  <c r="AC12" i="2"/>
  <c r="AC11" i="2"/>
  <c r="AC10" i="2"/>
  <c r="AC9" i="2"/>
  <c r="AC8" i="2"/>
  <c r="AC7" i="2"/>
  <c r="AC6" i="2"/>
  <c r="V11" i="1" l="1"/>
  <c r="V7" i="1"/>
  <c r="P7" i="1" s="1"/>
  <c r="Q7" i="1" s="1"/>
  <c r="R7" i="1" l="1"/>
  <c r="M7" i="1" s="1"/>
  <c r="H7" i="1" s="1"/>
  <c r="I7" i="1" s="1"/>
  <c r="V10" i="1"/>
  <c r="W34" i="2"/>
  <c r="V34" i="2"/>
  <c r="W33" i="2"/>
  <c r="V33" i="2"/>
  <c r="W32" i="2"/>
  <c r="V32" i="2"/>
  <c r="W31" i="2"/>
  <c r="U7" i="1" s="1"/>
  <c r="V31" i="2"/>
  <c r="W30" i="2"/>
  <c r="V30" i="2"/>
  <c r="W29" i="2"/>
  <c r="U8" i="1" s="1"/>
  <c r="V29" i="2"/>
  <c r="T8" i="1" s="1"/>
  <c r="W28" i="2"/>
  <c r="V28" i="2"/>
  <c r="W27" i="2"/>
  <c r="V27" i="2"/>
  <c r="W26" i="2"/>
  <c r="V26" i="2"/>
  <c r="W24" i="2"/>
  <c r="V24" i="2"/>
  <c r="W25" i="2"/>
  <c r="V25" i="2"/>
  <c r="O34" i="2"/>
  <c r="O25" i="2"/>
  <c r="P33" i="2"/>
  <c r="O33" i="2" s="1"/>
  <c r="P31" i="2"/>
  <c r="O31" i="2" s="1"/>
  <c r="P29" i="2"/>
  <c r="O29" i="2" s="1"/>
  <c r="P27" i="2"/>
  <c r="O27" i="2" s="1"/>
  <c r="U34" i="2"/>
  <c r="U33" i="2"/>
  <c r="U32" i="2"/>
  <c r="U31" i="2"/>
  <c r="U30" i="2"/>
  <c r="U29" i="2"/>
  <c r="U28" i="2"/>
  <c r="U27" i="2"/>
  <c r="U26" i="2"/>
  <c r="U25" i="2"/>
  <c r="U24" i="2"/>
  <c r="T7" i="1" l="1"/>
  <c r="J7" i="1"/>
  <c r="K7" i="1" s="1"/>
  <c r="N7" i="1"/>
  <c r="T11" i="1"/>
  <c r="T10" i="1"/>
  <c r="T9" i="1"/>
  <c r="U11" i="1"/>
  <c r="U10" i="1"/>
  <c r="U9" i="1"/>
  <c r="J33" i="2"/>
  <c r="H33" i="2"/>
  <c r="J31" i="2"/>
  <c r="H31" i="2"/>
  <c r="J29" i="2"/>
  <c r="H29" i="2"/>
  <c r="J27" i="2"/>
  <c r="H27" i="2"/>
  <c r="J25" i="2"/>
  <c r="H25" i="2"/>
  <c r="N19" i="2"/>
  <c r="R19" i="2" s="1"/>
  <c r="Q18" i="2"/>
  <c r="Q17" i="2"/>
  <c r="P17" i="2" s="1"/>
  <c r="J17" i="2"/>
  <c r="O16" i="2"/>
  <c r="N16" i="2"/>
  <c r="Q15" i="2"/>
  <c r="O15" i="2"/>
  <c r="N15" i="2"/>
  <c r="R15" i="2" s="1"/>
  <c r="J15" i="2"/>
  <c r="H15" i="2"/>
  <c r="Q14" i="2"/>
  <c r="O14" i="2"/>
  <c r="N14" i="2"/>
  <c r="R14" i="2" s="1"/>
  <c r="Q13" i="2"/>
  <c r="O13" i="2"/>
  <c r="N13" i="2"/>
  <c r="R13" i="2" s="1"/>
  <c r="J13" i="2"/>
  <c r="H13" i="2"/>
  <c r="Q12" i="2"/>
  <c r="O12" i="2"/>
  <c r="N12" i="2"/>
  <c r="R12" i="2" s="1"/>
  <c r="Q11" i="2"/>
  <c r="O11" i="2"/>
  <c r="N11" i="2"/>
  <c r="R11" i="2" s="1"/>
  <c r="J11" i="2"/>
  <c r="H11" i="2"/>
  <c r="Q10" i="2"/>
  <c r="O10" i="2"/>
  <c r="N10" i="2"/>
  <c r="R10" i="2" s="1"/>
  <c r="Q9" i="2"/>
  <c r="O9" i="2"/>
  <c r="N9" i="2"/>
  <c r="R9" i="2" s="1"/>
  <c r="J9" i="2"/>
  <c r="H9" i="2"/>
  <c r="Q8" i="2"/>
  <c r="O8" i="2"/>
  <c r="N8" i="2"/>
  <c r="R8" i="2" s="1"/>
  <c r="Q7" i="2"/>
  <c r="O7" i="2"/>
  <c r="N7" i="2"/>
  <c r="R7" i="2" s="1"/>
  <c r="J7" i="2"/>
  <c r="Q6" i="2"/>
  <c r="L7" i="1" l="1"/>
  <c r="Q16" i="2"/>
  <c r="R16" i="2"/>
  <c r="V8" i="1" l="1"/>
  <c r="V9" i="1"/>
  <c r="R8" i="1" l="1"/>
  <c r="R9" i="1" l="1"/>
  <c r="R10" i="1" l="1"/>
  <c r="R11" i="1" l="1"/>
</calcChain>
</file>

<file path=xl/sharedStrings.xml><?xml version="1.0" encoding="utf-8"?>
<sst xmlns="http://schemas.openxmlformats.org/spreadsheetml/2006/main" count="389" uniqueCount="173">
  <si>
    <t>Density</t>
  </si>
  <si>
    <t>Blow Counts N</t>
  </si>
  <si>
    <t>tsf</t>
  </si>
  <si>
    <t>psf</t>
  </si>
  <si>
    <t>Very Loose</t>
  </si>
  <si>
    <t>-</t>
  </si>
  <si>
    <t>Loose</t>
  </si>
  <si>
    <t>Medium Dense</t>
  </si>
  <si>
    <t>Dense</t>
  </si>
  <si>
    <t>Very Dense</t>
  </si>
  <si>
    <t>&gt;</t>
  </si>
  <si>
    <t>Consistency</t>
  </si>
  <si>
    <t>Very Soft</t>
  </si>
  <si>
    <t>&lt;</t>
  </si>
  <si>
    <t>Soft</t>
  </si>
  <si>
    <t>Medium Stiff</t>
  </si>
  <si>
    <t>Stiff</t>
  </si>
  <si>
    <t>Very Stiff</t>
  </si>
  <si>
    <t>Hard</t>
  </si>
  <si>
    <t>Properties for Cohesive Soils</t>
  </si>
  <si>
    <t>Properties for Granular Soils</t>
  </si>
  <si>
    <t>Unconfined Compressive Strength qu</t>
  </si>
  <si>
    <t>V.Soft-Soft</t>
  </si>
  <si>
    <t>Soft-M.Stiff</t>
  </si>
  <si>
    <t>M.Stiff-Stiff</t>
  </si>
  <si>
    <t>Stiff-V.Stiff</t>
  </si>
  <si>
    <t>V.Stiff-Hard</t>
  </si>
  <si>
    <r>
      <t>N</t>
    </r>
    <r>
      <rPr>
        <b/>
        <vertAlign val="subscript"/>
        <sz val="10"/>
        <rFont val="Arial"/>
        <family val="2"/>
      </rPr>
      <t>60</t>
    </r>
  </si>
  <si>
    <r>
      <t>c</t>
    </r>
    <r>
      <rPr>
        <b/>
        <sz val="10"/>
        <rFont val="Calibri"/>
        <family val="2"/>
      </rPr>
      <t>′</t>
    </r>
  </si>
  <si>
    <t>φ′</t>
  </si>
  <si>
    <r>
      <t>S</t>
    </r>
    <r>
      <rPr>
        <b/>
        <vertAlign val="subscript"/>
        <sz val="10"/>
        <rFont val="Arial"/>
        <family val="2"/>
      </rPr>
      <t>u</t>
    </r>
  </si>
  <si>
    <t>Pudding</t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</si>
  <si>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dry</t>
    </r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</si>
  <si>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moist</t>
    </r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</si>
  <si>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wet</t>
    </r>
  </si>
  <si>
    <t>Very Hard</t>
  </si>
  <si>
    <t>Hard-V.Hard</t>
  </si>
  <si>
    <r>
      <t>φ</t>
    </r>
    <r>
      <rPr>
        <b/>
        <vertAlign val="subscript"/>
        <sz val="10"/>
        <rFont val="Calibri"/>
        <family val="2"/>
      </rPr>
      <t>equiv.</t>
    </r>
  </si>
  <si>
    <r>
      <t>Q</t>
    </r>
    <r>
      <rPr>
        <b/>
        <vertAlign val="subscript"/>
        <sz val="10"/>
        <rFont val="Arial"/>
        <family val="2"/>
      </rPr>
      <t>u</t>
    </r>
  </si>
  <si>
    <t>degrees</t>
  </si>
  <si>
    <t>pcf</t>
  </si>
  <si>
    <t>Embankment</t>
  </si>
  <si>
    <t>bpf</t>
  </si>
  <si>
    <r>
      <t>N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 xml:space="preserve"> Range</t>
    </r>
  </si>
  <si>
    <t>Typical Properties</t>
  </si>
  <si>
    <t>Soil</t>
  </si>
  <si>
    <t>Class</t>
  </si>
  <si>
    <t>A-4a</t>
  </si>
  <si>
    <t>A-4b</t>
  </si>
  <si>
    <t>A-5</t>
  </si>
  <si>
    <t>A-6a</t>
  </si>
  <si>
    <t>A-6b</t>
  </si>
  <si>
    <t>A-7-5</t>
  </si>
  <si>
    <t>A-7-6</t>
  </si>
  <si>
    <t>+</t>
  </si>
  <si>
    <t>Drained</t>
  </si>
  <si>
    <t>Undrained</t>
  </si>
  <si>
    <t>Equiv.</t>
  </si>
  <si>
    <t>Unit Weights</t>
  </si>
  <si>
    <t>A-1-a</t>
  </si>
  <si>
    <t>A-1-b</t>
  </si>
  <si>
    <t>A-3</t>
  </si>
  <si>
    <t>A-3a</t>
  </si>
  <si>
    <t>A-2-4</t>
  </si>
  <si>
    <t>A-2-6</t>
  </si>
  <si>
    <t>A-2-5</t>
  </si>
  <si>
    <t>A-2-7</t>
  </si>
  <si>
    <t>Cohesive Soil</t>
  </si>
  <si>
    <t>Granular Soil</t>
  </si>
  <si>
    <t>V.Loose-Loose</t>
  </si>
  <si>
    <t>Loose-M.Dense</t>
  </si>
  <si>
    <t>M.Dense-Dense</t>
  </si>
  <si>
    <t>Dense-V.Dense</t>
  </si>
  <si>
    <t>Undensified</t>
  </si>
  <si>
    <t>Fully Dense</t>
  </si>
  <si>
    <t>Layer</t>
  </si>
  <si>
    <t>Number</t>
  </si>
  <si>
    <t>Top</t>
  </si>
  <si>
    <t>Elev.</t>
  </si>
  <si>
    <t>(ft)</t>
  </si>
  <si>
    <t>(No.)</t>
  </si>
  <si>
    <t>Bottom</t>
  </si>
  <si>
    <t>Type</t>
  </si>
  <si>
    <t>(bpf)</t>
  </si>
  <si>
    <t>Cohesive</t>
  </si>
  <si>
    <t>Granular</t>
  </si>
  <si>
    <t>(degrees)</t>
  </si>
  <si>
    <t>Adjust.</t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</si>
  <si>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tot</t>
    </r>
  </si>
  <si>
    <r>
      <rPr>
        <b/>
        <sz val="10"/>
        <rFont val="Times New Roman"/>
        <family val="1"/>
      </rPr>
      <t>γ</t>
    </r>
    <r>
      <rPr>
        <b/>
        <sz val="10"/>
        <rFont val="Calibri"/>
        <family val="2"/>
      </rPr>
      <t>′</t>
    </r>
    <r>
      <rPr>
        <b/>
        <vertAlign val="subscript"/>
        <sz val="10"/>
        <rFont val="Calibri"/>
        <family val="2"/>
      </rPr>
      <t xml:space="preserve"> (eff.)</t>
    </r>
  </si>
  <si>
    <t>Unconfined</t>
  </si>
  <si>
    <t>Avg.</t>
  </si>
  <si>
    <t>f1</t>
  </si>
  <si>
    <r>
      <t>Atmospheric Pressure (p</t>
    </r>
    <r>
      <rPr>
        <b/>
        <vertAlign val="subscript"/>
        <sz val="11"/>
        <color rgb="FF000000"/>
        <rFont val="Calibri"/>
        <family val="2"/>
      </rPr>
      <t>a</t>
    </r>
    <r>
      <rPr>
        <b/>
        <sz val="11"/>
        <color rgb="FF000000"/>
        <rFont val="Calibri"/>
        <family val="2"/>
      </rPr>
      <t>) =</t>
    </r>
  </si>
  <si>
    <t>Water Table Elevation (ft) =</t>
  </si>
  <si>
    <r>
      <rPr>
        <b/>
        <sz val="10"/>
        <rFont val="Times New Roman"/>
        <family val="1"/>
      </rPr>
      <t>γ</t>
    </r>
    <r>
      <rPr>
        <b/>
        <vertAlign val="subscript"/>
        <sz val="10"/>
        <rFont val="Calibri"/>
        <family val="2"/>
      </rPr>
      <t>saturated</t>
    </r>
  </si>
  <si>
    <r>
      <t>σ′</t>
    </r>
    <r>
      <rPr>
        <b/>
        <vertAlign val="subscript"/>
        <sz val="11"/>
        <color rgb="FF000000"/>
        <rFont val="Calibri"/>
        <family val="2"/>
      </rPr>
      <t>v</t>
    </r>
  </si>
  <si>
    <r>
      <t>C</t>
    </r>
    <r>
      <rPr>
        <b/>
        <vertAlign val="subscript"/>
        <sz val="10"/>
        <rFont val="Arial"/>
        <family val="2"/>
      </rPr>
      <t>N</t>
    </r>
  </si>
  <si>
    <r>
      <t>N1</t>
    </r>
    <r>
      <rPr>
        <b/>
        <vertAlign val="subscript"/>
        <sz val="10"/>
        <rFont val="Arial"/>
        <family val="2"/>
      </rPr>
      <t>60</t>
    </r>
  </si>
  <si>
    <t>Depth</t>
  </si>
  <si>
    <r>
      <t>N1</t>
    </r>
    <r>
      <rPr>
        <b/>
        <vertAlign val="subscript"/>
        <sz val="11"/>
        <rFont val="Calibri"/>
        <family val="2"/>
        <scheme val="minor"/>
      </rPr>
      <t>60</t>
    </r>
  </si>
  <si>
    <r>
      <t>N</t>
    </r>
    <r>
      <rPr>
        <b/>
        <vertAlign val="subscript"/>
        <sz val="11"/>
        <rFont val="Calibri"/>
        <family val="2"/>
        <scheme val="minor"/>
      </rPr>
      <t>60</t>
    </r>
  </si>
  <si>
    <t>Top of Model Elevation (ft) =</t>
  </si>
  <si>
    <t>(psi)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</si>
  <si>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u</t>
    </r>
  </si>
  <si>
    <t>k</t>
  </si>
  <si>
    <t>pci</t>
  </si>
  <si>
    <t>Soil Modulus Parameter k for Clays</t>
  </si>
  <si>
    <r>
      <t xml:space="preserve">Soil Strain Parameter </t>
    </r>
    <r>
      <rPr>
        <b/>
        <sz val="10"/>
        <rFont val="Calibri"/>
        <family val="2"/>
      </rPr>
      <t>ε</t>
    </r>
    <r>
      <rPr>
        <b/>
        <vertAlign val="subscript"/>
        <sz val="10"/>
        <rFont val="Arial"/>
        <family val="2"/>
      </rPr>
      <t>50</t>
    </r>
    <r>
      <rPr>
        <b/>
        <sz val="10"/>
        <rFont val="Arial"/>
        <family val="2"/>
      </rPr>
      <t xml:space="preserve"> for Clay Soils</t>
    </r>
  </si>
  <si>
    <r>
      <rPr>
        <b/>
        <sz val="10"/>
        <rFont val="Calibri"/>
        <family val="2"/>
      </rPr>
      <t>ε</t>
    </r>
    <r>
      <rPr>
        <vertAlign val="subscript"/>
        <sz val="10"/>
        <rFont val="Arial"/>
        <family val="2"/>
      </rPr>
      <t>50</t>
    </r>
  </si>
  <si>
    <t>Table</t>
  </si>
  <si>
    <t>Calculated</t>
  </si>
  <si>
    <t>Relative Density</t>
  </si>
  <si>
    <t>Below Water Table</t>
  </si>
  <si>
    <t>Above Water Table</t>
  </si>
  <si>
    <t>Loose-Med. Dense</t>
  </si>
  <si>
    <t>Med. Dense - Dense</t>
  </si>
  <si>
    <t>Soil Modulus Parameter k for Sands (pci)</t>
  </si>
  <si>
    <t>φ′ degrees</t>
  </si>
  <si>
    <t>Very Weak</t>
  </si>
  <si>
    <t>Weak</t>
  </si>
  <si>
    <t>Slightly Strong</t>
  </si>
  <si>
    <t>Relative Strength</t>
  </si>
  <si>
    <t>Typical Qu (psi)</t>
  </si>
  <si>
    <r>
      <t>k</t>
    </r>
    <r>
      <rPr>
        <b/>
        <vertAlign val="subscript"/>
        <sz val="10"/>
        <rFont val="Arial"/>
        <family val="2"/>
      </rPr>
      <t>rm</t>
    </r>
  </si>
  <si>
    <r>
      <t>Parameter k</t>
    </r>
    <r>
      <rPr>
        <b/>
        <vertAlign val="subscript"/>
        <sz val="10"/>
        <rFont val="Arial"/>
        <family val="2"/>
      </rPr>
      <t>rm</t>
    </r>
    <r>
      <rPr>
        <b/>
        <sz val="10"/>
        <rFont val="Arial"/>
        <family val="2"/>
      </rPr>
      <t xml:space="preserve"> for Weak Rock</t>
    </r>
  </si>
  <si>
    <t>Intact Rock Modulus</t>
  </si>
  <si>
    <r>
      <t>E</t>
    </r>
    <r>
      <rPr>
        <b/>
        <vertAlign val="subscript"/>
        <sz val="10"/>
        <color theme="1"/>
        <rFont val="Arial"/>
        <family val="2"/>
      </rPr>
      <t>i</t>
    </r>
  </si>
  <si>
    <t>RQD</t>
  </si>
  <si>
    <t>(%)</t>
  </si>
  <si>
    <t>(NUM)</t>
  </si>
  <si>
    <t>Open</t>
  </si>
  <si>
    <t>Closed</t>
  </si>
  <si>
    <r>
      <t>Rock Modulus Ratio (</t>
    </r>
    <r>
      <rPr>
        <b/>
        <sz val="10"/>
        <rFont val="Calibri"/>
        <family val="2"/>
      </rPr>
      <t>α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= Em/Ei)</t>
    </r>
  </si>
  <si>
    <t>Bedrock</t>
  </si>
  <si>
    <t>Rock</t>
  </si>
  <si>
    <t>Sandstone</t>
  </si>
  <si>
    <t>Vis.</t>
  </si>
  <si>
    <t>Top of Rock Elevation (ft) =</t>
  </si>
  <si>
    <t>Soft Clay</t>
  </si>
  <si>
    <t>Stiff Clay</t>
  </si>
  <si>
    <t>w/ or w/o</t>
  </si>
  <si>
    <t>Water</t>
  </si>
  <si>
    <t>p-y k</t>
  </si>
  <si>
    <t>(pci)</t>
  </si>
  <si>
    <t>Shale</t>
  </si>
  <si>
    <t>Limestone</t>
  </si>
  <si>
    <t>LPILE</t>
  </si>
  <si>
    <t>p-y</t>
  </si>
  <si>
    <t>Model</t>
  </si>
  <si>
    <r>
      <t>E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/E</t>
    </r>
    <r>
      <rPr>
        <b/>
        <vertAlign val="subscript"/>
        <sz val="10"/>
        <rFont val="Arial"/>
        <family val="2"/>
      </rPr>
      <t>i</t>
    </r>
  </si>
  <si>
    <r>
      <t>E</t>
    </r>
    <r>
      <rPr>
        <b/>
        <vertAlign val="subscript"/>
        <sz val="10"/>
        <rFont val="Arial"/>
        <family val="2"/>
      </rPr>
      <t>i</t>
    </r>
  </si>
  <si>
    <t>Condition</t>
  </si>
  <si>
    <t>Joint</t>
  </si>
  <si>
    <r>
      <t>E</t>
    </r>
    <r>
      <rPr>
        <b/>
        <vertAlign val="subscript"/>
        <sz val="10"/>
        <rFont val="Arial"/>
        <family val="2"/>
      </rPr>
      <t>m</t>
    </r>
  </si>
  <si>
    <r>
      <t>N1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/N</t>
    </r>
    <r>
      <rPr>
        <b/>
        <vertAlign val="subscript"/>
        <sz val="10"/>
        <rFont val="Arial"/>
        <family val="2"/>
      </rPr>
      <t>60</t>
    </r>
  </si>
  <si>
    <t>Rock Modulus</t>
  </si>
  <si>
    <t>Undrained Strength</t>
  </si>
  <si>
    <t>Dolomite</t>
  </si>
  <si>
    <t>Claystone</t>
  </si>
  <si>
    <t>Mudstone</t>
  </si>
  <si>
    <t>(pcf)</t>
  </si>
  <si>
    <r>
      <t xml:space="preserve">Maximum </t>
    </r>
    <r>
      <rPr>
        <sz val="10"/>
        <rFont val="Times New Roman"/>
        <family val="1"/>
      </rPr>
      <t>γ</t>
    </r>
  </si>
  <si>
    <r>
      <t>Max. Q</t>
    </r>
    <r>
      <rPr>
        <vertAlign val="subscript"/>
        <sz val="10"/>
        <rFont val="Arial"/>
        <family val="2"/>
      </rPr>
      <t>u</t>
    </r>
  </si>
  <si>
    <t>Bedrock Unit Weight</t>
  </si>
  <si>
    <t>Siltstone</t>
  </si>
  <si>
    <r>
      <t>Typ. Q</t>
    </r>
    <r>
      <rPr>
        <vertAlign val="subscript"/>
        <sz val="10"/>
        <rFont val="Arial"/>
        <family val="2"/>
      </rPr>
      <t>u</t>
    </r>
  </si>
  <si>
    <r>
      <t>Q</t>
    </r>
    <r>
      <rPr>
        <vertAlign val="subscript"/>
        <sz val="10"/>
        <rFont val="Arial"/>
        <family val="2"/>
      </rPr>
      <t>u</t>
    </r>
  </si>
  <si>
    <t>(psf)</t>
  </si>
  <si>
    <t>Ratio</t>
  </si>
  <si>
    <t>Project:</t>
  </si>
  <si>
    <t>PID:</t>
  </si>
  <si>
    <t>BEL-147-25.88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</si>
</sst>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0000"/>
    <numFmt numFmtId="167" formatCode="0.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Calibri"/>
      <family val="2"/>
    </font>
    <font>
      <b/>
      <sz val="10"/>
      <name val="Times New Roman"/>
      <family val="1"/>
    </font>
    <font>
      <b/>
      <vertAlign val="subscript"/>
      <sz val="10"/>
      <name val="Calibri"/>
      <family val="2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vertAlign val="subscript"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vertAlign val="subscript"/>
      <sz val="10"/>
      <color theme="1"/>
      <name val="Arial"/>
      <family val="2"/>
    </font>
    <font>
      <b/>
      <vertAlign val="subscript"/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1" fontId="0" fillId="0" borderId="0" xfId="0" applyNumberFormat="1" applyAlignment="1">
      <alignment horizontal="center"/>
    </xf>
    <xf numFmtId="1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/>
    <xf numFmtId="0" fontId="4" fillId="0" borderId="26" xfId="0" applyFont="1" applyBorder="1"/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2" borderId="17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3" fillId="0" borderId="7" xfId="0" applyFont="1" applyBorder="1"/>
    <xf numFmtId="16" fontId="4" fillId="0" borderId="0" xfId="0" quotePrefix="1" applyNumberFormat="1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6" xfId="0" applyBorder="1"/>
    <xf numFmtId="0" fontId="0" fillId="0" borderId="27" xfId="0" applyBorder="1"/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0" fontId="6" fillId="0" borderId="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2" xfId="0" applyFont="1" applyBorder="1"/>
    <xf numFmtId="0" fontId="4" fillId="0" borderId="3" xfId="0" applyFont="1" applyBorder="1"/>
    <xf numFmtId="0" fontId="0" fillId="2" borderId="1" xfId="0" applyFill="1" applyBorder="1"/>
    <xf numFmtId="0" fontId="4" fillId="2" borderId="1" xfId="0" applyFont="1" applyFill="1" applyBorder="1"/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3" fillId="3" borderId="7" xfId="0" applyFont="1" applyFill="1" applyBorder="1"/>
    <xf numFmtId="0" fontId="1" fillId="3" borderId="7" xfId="0" applyFont="1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3" borderId="0" xfId="0" applyFill="1"/>
    <xf numFmtId="1" fontId="1" fillId="0" borderId="7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1" fontId="13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1" fontId="9" fillId="0" borderId="0" xfId="0" applyNumberFormat="1" applyFont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1" fontId="9" fillId="0" borderId="4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1" fontId="0" fillId="3" borderId="0" xfId="0" applyNumberFormat="1" applyFill="1" applyAlignment="1">
      <alignment horizontal="center"/>
    </xf>
    <xf numFmtId="0" fontId="0" fillId="3" borderId="2" xfId="0" applyFill="1" applyBorder="1"/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6" fontId="4" fillId="0" borderId="4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9" fillId="0" borderId="13" xfId="0" applyFont="1" applyBorder="1" applyAlignment="1" applyProtection="1">
      <alignment horizontal="center"/>
      <protection locked="0"/>
    </xf>
    <xf numFmtId="1" fontId="9" fillId="0" borderId="13" xfId="0" applyNumberFormat="1" applyFont="1" applyBorder="1" applyAlignment="1" applyProtection="1">
      <alignment horizontal="center"/>
      <protection locked="0"/>
    </xf>
    <xf numFmtId="0" fontId="4" fillId="0" borderId="17" xfId="0" applyFont="1" applyBorder="1"/>
    <xf numFmtId="0" fontId="4" fillId="0" borderId="30" xfId="0" applyFont="1" applyBorder="1"/>
    <xf numFmtId="0" fontId="4" fillId="0" borderId="18" xfId="0" applyFont="1" applyBorder="1"/>
    <xf numFmtId="0" fontId="4" fillId="0" borderId="31" xfId="0" applyFont="1" applyBorder="1"/>
    <xf numFmtId="1" fontId="1" fillId="0" borderId="8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1" fontId="15" fillId="0" borderId="0" xfId="0" applyNumberFormat="1" applyFont="1" applyAlignment="1">
      <alignment horizontal="center"/>
    </xf>
    <xf numFmtId="0" fontId="0" fillId="0" borderId="32" xfId="0" applyBorder="1" applyAlignment="1">
      <alignment horizontal="center"/>
    </xf>
    <xf numFmtId="0" fontId="4" fillId="0" borderId="33" xfId="0" applyFont="1" applyBorder="1" applyAlignment="1">
      <alignment horizontal="right"/>
    </xf>
    <xf numFmtId="0" fontId="0" fillId="0" borderId="33" xfId="0" applyBorder="1" applyAlignment="1">
      <alignment horizontal="center"/>
    </xf>
    <xf numFmtId="1" fontId="0" fillId="0" borderId="33" xfId="0" applyNumberFormat="1" applyBorder="1" applyAlignment="1">
      <alignment horizontal="right"/>
    </xf>
    <xf numFmtId="164" fontId="0" fillId="0" borderId="0" xfId="0" applyNumberFormat="1"/>
    <xf numFmtId="2" fontId="0" fillId="0" borderId="0" xfId="0" applyNumberFormat="1"/>
    <xf numFmtId="166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1" fontId="1" fillId="0" borderId="30" xfId="0" applyNumberFormat="1" applyFont="1" applyBorder="1" applyAlignment="1">
      <alignment horizontal="center"/>
    </xf>
    <xf numFmtId="166" fontId="1" fillId="0" borderId="30" xfId="0" applyNumberFormat="1" applyFont="1" applyBorder="1" applyAlignment="1">
      <alignment horizontal="center"/>
    </xf>
    <xf numFmtId="2" fontId="1" fillId="2" borderId="30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4" fontId="6" fillId="0" borderId="30" xfId="0" applyNumberFormat="1" applyFont="1" applyBorder="1" applyAlignment="1">
      <alignment horizontal="center"/>
    </xf>
    <xf numFmtId="0" fontId="6" fillId="3" borderId="30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1" fillId="0" borderId="27" xfId="0" applyFont="1" applyBorder="1"/>
    <xf numFmtId="1" fontId="1" fillId="0" borderId="28" xfId="0" applyNumberFormat="1" applyFont="1" applyBorder="1" applyAlignment="1">
      <alignment horizontal="center"/>
    </xf>
    <xf numFmtId="1" fontId="1" fillId="0" borderId="31" xfId="0" applyNumberFormat="1" applyFont="1" applyBorder="1" applyAlignment="1">
      <alignment horizontal="center"/>
    </xf>
    <xf numFmtId="166" fontId="1" fillId="0" borderId="31" xfId="0" applyNumberFormat="1" applyFont="1" applyBorder="1" applyAlignment="1">
      <alignment horizontal="center"/>
    </xf>
    <xf numFmtId="1" fontId="1" fillId="2" borderId="31" xfId="0" applyNumberFormat="1" applyFont="1" applyFill="1" applyBorder="1" applyAlignment="1">
      <alignment horizontal="center"/>
    </xf>
    <xf numFmtId="1" fontId="1" fillId="3" borderId="29" xfId="0" applyNumberFormat="1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center"/>
    </xf>
    <xf numFmtId="1" fontId="10" fillId="0" borderId="17" xfId="0" applyNumberFormat="1" applyFont="1" applyBorder="1" applyAlignment="1">
      <alignment horizontal="center"/>
    </xf>
    <xf numFmtId="165" fontId="10" fillId="0" borderId="17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2" fontId="10" fillId="2" borderId="17" xfId="0" applyNumberFormat="1" applyFont="1" applyFill="1" applyBorder="1" applyAlignment="1">
      <alignment horizontal="center"/>
    </xf>
    <xf numFmtId="167" fontId="10" fillId="0" borderId="17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1" fontId="10" fillId="3" borderId="2" xfId="0" applyNumberFormat="1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" fontId="10" fillId="0" borderId="18" xfId="0" applyNumberFormat="1" applyFont="1" applyBorder="1" applyAlignment="1">
      <alignment horizontal="center"/>
    </xf>
    <xf numFmtId="165" fontId="10" fillId="0" borderId="18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2" fontId="10" fillId="2" borderId="18" xfId="0" applyNumberFormat="1" applyFont="1" applyFill="1" applyBorder="1" applyAlignment="1">
      <alignment horizontal="center"/>
    </xf>
    <xf numFmtId="167" fontId="10" fillId="0" borderId="18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" fontId="10" fillId="3" borderId="5" xfId="0" applyNumberFormat="1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167" fontId="0" fillId="0" borderId="0" xfId="0" applyNumberFormat="1"/>
    <xf numFmtId="1" fontId="1" fillId="0" borderId="25" xfId="0" applyNumberFormat="1" applyFont="1" applyBorder="1" applyAlignment="1">
      <alignment horizontal="center"/>
    </xf>
    <xf numFmtId="2" fontId="1" fillId="0" borderId="4" xfId="0" applyNumberFormat="1" applyFont="1" applyBorder="1"/>
    <xf numFmtId="166" fontId="1" fillId="0" borderId="17" xfId="0" applyNumberFormat="1" applyFont="1" applyBorder="1" applyAlignment="1">
      <alignment horizontal="center"/>
    </xf>
    <xf numFmtId="167" fontId="6" fillId="0" borderId="30" xfId="0" applyNumberFormat="1" applyFont="1" applyBorder="1" applyAlignment="1">
      <alignment horizontal="center"/>
    </xf>
    <xf numFmtId="2" fontId="1" fillId="3" borderId="30" xfId="0" applyNumberFormat="1" applyFont="1" applyFill="1" applyBorder="1" applyAlignment="1">
      <alignment horizontal="center"/>
    </xf>
    <xf numFmtId="1" fontId="1" fillId="0" borderId="29" xfId="0" applyNumberFormat="1" applyFont="1" applyBorder="1" applyAlignment="1">
      <alignment horizontal="center"/>
    </xf>
    <xf numFmtId="2" fontId="1" fillId="3" borderId="29" xfId="0" applyNumberFormat="1" applyFont="1" applyFill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166" fontId="10" fillId="0" borderId="17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1" fontId="10" fillId="0" borderId="14" xfId="0" applyNumberFormat="1" applyFont="1" applyBorder="1" applyAlignment="1">
      <alignment horizontal="center"/>
    </xf>
    <xf numFmtId="167" fontId="10" fillId="0" borderId="26" xfId="0" applyNumberFormat="1" applyFont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1" fontId="10" fillId="3" borderId="14" xfId="0" applyNumberFormat="1" applyFont="1" applyFill="1" applyBorder="1" applyAlignment="1">
      <alignment horizontal="center"/>
    </xf>
    <xf numFmtId="2" fontId="10" fillId="3" borderId="14" xfId="0" applyNumberFormat="1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26" xfId="0" applyFont="1" applyFill="1" applyBorder="1" applyAlignment="1">
      <alignment horizontal="center"/>
    </xf>
    <xf numFmtId="2" fontId="10" fillId="3" borderId="2" xfId="0" applyNumberFormat="1" applyFont="1" applyFill="1" applyBorder="1" applyAlignment="1">
      <alignment horizontal="center"/>
    </xf>
    <xf numFmtId="166" fontId="10" fillId="0" borderId="18" xfId="0" applyNumberFormat="1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2" fontId="10" fillId="3" borderId="5" xfId="0" applyNumberFormat="1" applyFont="1" applyFill="1" applyBorder="1" applyAlignment="1">
      <alignment horizontal="center"/>
    </xf>
    <xf numFmtId="1" fontId="9" fillId="0" borderId="26" xfId="0" applyNumberFormat="1" applyFont="1" applyBorder="1" applyAlignment="1" applyProtection="1">
      <alignment horizontal="center"/>
      <protection locked="0"/>
    </xf>
    <xf numFmtId="1" fontId="9" fillId="0" borderId="17" xfId="0" applyNumberFormat="1" applyFont="1" applyBorder="1" applyAlignment="1" applyProtection="1">
      <alignment horizontal="center"/>
      <protection locked="0"/>
    </xf>
    <xf numFmtId="1" fontId="9" fillId="0" borderId="18" xfId="0" applyNumberFormat="1" applyFont="1" applyBorder="1" applyAlignment="1" applyProtection="1">
      <alignment horizontal="center"/>
      <protection locked="0"/>
    </xf>
    <xf numFmtId="0" fontId="9" fillId="0" borderId="34" xfId="0" applyFont="1" applyBorder="1" applyAlignment="1" applyProtection="1">
      <alignment horizontal="center"/>
      <protection locked="0"/>
    </xf>
    <xf numFmtId="166" fontId="10" fillId="0" borderId="26" xfId="0" applyNumberFormat="1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4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1" fontId="1" fillId="0" borderId="32" xfId="0" applyNumberFormat="1" applyFont="1" applyBorder="1" applyAlignment="1">
      <alignment horizontal="center"/>
    </xf>
    <xf numFmtId="1" fontId="1" fillId="0" borderId="33" xfId="0" applyNumberFormat="1" applyFont="1" applyBorder="1" applyAlignment="1">
      <alignment horizontal="center"/>
    </xf>
    <xf numFmtId="1" fontId="1" fillId="0" borderId="34" xfId="0" applyNumberFormat="1" applyFont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37" xfId="0" applyFill="1" applyBorder="1" applyAlignment="1">
      <alignment horizontal="center"/>
    </xf>
    <xf numFmtId="1" fontId="15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workbookViewId="0">
      <selection activeCell="C19" sqref="C19"/>
    </sheetView>
  </sheetViews>
  <sheetFormatPr defaultRowHeight="12.75" x14ac:dyDescent="0.2"/>
  <cols>
    <col min="1" max="1" width="8.140625" style="1" bestFit="1" customWidth="1"/>
    <col min="2" max="3" width="7.42578125" style="1" customWidth="1"/>
    <col min="4" max="4" width="6.28515625" style="1" bestFit="1" customWidth="1"/>
    <col min="5" max="5" width="5.7109375" style="1" bestFit="1" customWidth="1"/>
    <col min="6" max="6" width="9.85546875" style="1" bestFit="1" customWidth="1"/>
    <col min="7" max="7" width="5" style="31" bestFit="1" customWidth="1"/>
    <col min="8" max="8" width="9.7109375" style="31" bestFit="1" customWidth="1"/>
    <col min="9" max="9" width="18.140625" style="1" bestFit="1" customWidth="1"/>
    <col min="10" max="10" width="11.28515625" style="31" bestFit="1" customWidth="1"/>
    <col min="11" max="11" width="7.5703125" style="173" bestFit="1" customWidth="1"/>
    <col min="12" max="12" width="8.7109375" style="1" customWidth="1"/>
    <col min="13" max="13" width="8" style="1" customWidth="1"/>
    <col min="14" max="14" width="9.140625" style="31"/>
    <col min="15" max="15" width="8.7109375" style="31" customWidth="1"/>
    <col min="16" max="16" width="8.7109375" customWidth="1"/>
    <col min="17" max="17" width="8.7109375" style="171" customWidth="1"/>
    <col min="18" max="18" width="12.85546875" style="31" hidden="1" customWidth="1"/>
    <col min="19" max="19" width="19.85546875" style="172" hidden="1" customWidth="1"/>
    <col min="20" max="20" width="20.7109375" style="1" hidden="1" customWidth="1"/>
    <col min="21" max="21" width="25.85546875" style="1" hidden="1" customWidth="1"/>
    <col min="22" max="22" width="5.42578125" style="1" hidden="1" customWidth="1"/>
  </cols>
  <sheetData>
    <row r="1" spans="1:22" ht="13.5" thickBot="1" x14ac:dyDescent="0.25">
      <c r="A1" s="34" t="s">
        <v>170</v>
      </c>
      <c r="B1" s="269" t="s">
        <v>172</v>
      </c>
      <c r="C1" s="270"/>
      <c r="D1" s="271"/>
      <c r="I1" s="167"/>
      <c r="J1" s="168" t="s">
        <v>102</v>
      </c>
      <c r="K1" s="256">
        <v>1289.0999999999999</v>
      </c>
      <c r="M1" s="167"/>
      <c r="N1" s="169"/>
      <c r="O1" s="170" t="s">
        <v>94</v>
      </c>
      <c r="P1" s="256">
        <v>1281.3</v>
      </c>
    </row>
    <row r="2" spans="1:22" x14ac:dyDescent="0.2">
      <c r="A2" s="34" t="s">
        <v>171</v>
      </c>
      <c r="B2" s="269">
        <v>118147</v>
      </c>
      <c r="C2" s="270"/>
      <c r="D2" s="271"/>
      <c r="J2" s="259"/>
      <c r="K2" s="126"/>
      <c r="N2" s="1"/>
      <c r="O2" s="260"/>
      <c r="P2" s="126"/>
    </row>
    <row r="3" spans="1:22" ht="13.5" thickBot="1" x14ac:dyDescent="0.25"/>
    <row r="4" spans="1:22" s="178" customFormat="1" ht="13.5" thickBot="1" x14ac:dyDescent="0.25">
      <c r="A4" s="164" t="s">
        <v>75</v>
      </c>
      <c r="B4" s="10" t="s">
        <v>77</v>
      </c>
      <c r="C4" s="10" t="s">
        <v>81</v>
      </c>
      <c r="D4" s="10" t="s">
        <v>75</v>
      </c>
      <c r="E4" s="10"/>
      <c r="F4" s="10"/>
      <c r="G4" s="118" t="s">
        <v>91</v>
      </c>
      <c r="H4" s="118"/>
      <c r="I4" s="11" t="s">
        <v>147</v>
      </c>
      <c r="J4" s="266" t="s">
        <v>157</v>
      </c>
      <c r="K4" s="268"/>
      <c r="L4" s="174"/>
      <c r="M4" s="175"/>
      <c r="N4" s="176"/>
      <c r="O4" s="263" t="s">
        <v>58</v>
      </c>
      <c r="P4" s="264"/>
      <c r="Q4" s="265"/>
      <c r="R4" s="177"/>
      <c r="S4" s="176"/>
      <c r="T4" s="177"/>
      <c r="U4" s="177"/>
      <c r="V4" s="177"/>
    </row>
    <row r="5" spans="1:22" s="178" customFormat="1" ht="18" x14ac:dyDescent="0.35">
      <c r="A5" s="179" t="s">
        <v>76</v>
      </c>
      <c r="B5" s="34" t="s">
        <v>78</v>
      </c>
      <c r="C5" s="34" t="s">
        <v>78</v>
      </c>
      <c r="D5" s="34" t="s">
        <v>99</v>
      </c>
      <c r="E5" s="34" t="s">
        <v>45</v>
      </c>
      <c r="F5" s="34" t="s">
        <v>45</v>
      </c>
      <c r="G5" s="174" t="s">
        <v>27</v>
      </c>
      <c r="H5" s="174" t="s">
        <v>98</v>
      </c>
      <c r="I5" s="35" t="s">
        <v>148</v>
      </c>
      <c r="J5" s="180" t="s">
        <v>30</v>
      </c>
      <c r="K5" s="181"/>
      <c r="L5" s="180" t="s">
        <v>143</v>
      </c>
      <c r="M5" s="182" t="s">
        <v>97</v>
      </c>
      <c r="N5" s="183" t="s">
        <v>29</v>
      </c>
      <c r="O5" s="184" t="s">
        <v>88</v>
      </c>
      <c r="P5" s="185" t="s">
        <v>89</v>
      </c>
      <c r="Q5" s="186" t="s">
        <v>89</v>
      </c>
      <c r="R5" s="187" t="s">
        <v>96</v>
      </c>
      <c r="S5" s="188" t="s">
        <v>141</v>
      </c>
      <c r="T5" s="189" t="s">
        <v>32</v>
      </c>
      <c r="U5" s="190" t="s">
        <v>33</v>
      </c>
      <c r="V5" s="187" t="s">
        <v>95</v>
      </c>
    </row>
    <row r="6" spans="1:22" s="178" customFormat="1" ht="15.75" x14ac:dyDescent="0.3">
      <c r="A6" s="191" t="s">
        <v>80</v>
      </c>
      <c r="B6" s="60" t="s">
        <v>79</v>
      </c>
      <c r="C6" s="60" t="s">
        <v>79</v>
      </c>
      <c r="D6" s="60" t="s">
        <v>79</v>
      </c>
      <c r="E6" s="60" t="s">
        <v>46</v>
      </c>
      <c r="F6" s="60" t="s">
        <v>82</v>
      </c>
      <c r="G6" s="192" t="s">
        <v>83</v>
      </c>
      <c r="H6" s="192" t="s">
        <v>83</v>
      </c>
      <c r="I6" s="61" t="s">
        <v>149</v>
      </c>
      <c r="J6" s="193" t="s">
        <v>168</v>
      </c>
      <c r="K6" s="194" t="s">
        <v>109</v>
      </c>
      <c r="L6" s="193" t="s">
        <v>144</v>
      </c>
      <c r="M6" s="195" t="s">
        <v>155</v>
      </c>
      <c r="N6" s="64" t="s">
        <v>86</v>
      </c>
      <c r="O6" s="193" t="s">
        <v>161</v>
      </c>
      <c r="P6" s="193" t="s">
        <v>161</v>
      </c>
      <c r="Q6" s="193" t="s">
        <v>144</v>
      </c>
      <c r="R6" s="196" t="s">
        <v>3</v>
      </c>
      <c r="S6" s="197" t="s">
        <v>142</v>
      </c>
      <c r="T6" s="198" t="s">
        <v>40</v>
      </c>
      <c r="U6" s="199" t="s">
        <v>40</v>
      </c>
      <c r="V6" s="200" t="s">
        <v>40</v>
      </c>
    </row>
    <row r="7" spans="1:22" x14ac:dyDescent="0.2">
      <c r="A7" s="12">
        <v>1</v>
      </c>
      <c r="B7" s="201">
        <v>1281.0999999999999</v>
      </c>
      <c r="C7" s="126">
        <v>1271.5999999999999</v>
      </c>
      <c r="D7" s="201">
        <f>($K$1-C7)</f>
        <v>17.5</v>
      </c>
      <c r="E7" s="261" t="s">
        <v>50</v>
      </c>
      <c r="F7" s="261" t="s">
        <v>84</v>
      </c>
      <c r="G7" s="262">
        <v>11</v>
      </c>
      <c r="H7" s="202">
        <f t="shared" ref="H7" si="0">IF($E7="","",IF(F7="Cohesive",G7,G7*M7))</f>
        <v>11</v>
      </c>
      <c r="I7" s="203" t="str">
        <f>IF($E7="","",IF(F7="Cohesive",IF($H7&lt;7,LOOKUP($H7,Lookups!$K$6:$K$19,Lookups!Y$6:Y$19),CONCATENATE(LOOKUP($H7,Lookups!$K$6:$K$19,Lookups!Y$6:Y$19),S7)),"Sand (Reese)"))</f>
        <v>Stiff Clay with Water</v>
      </c>
      <c r="J7" s="204">
        <f>IF($E7="","",IF(F7="Cohesive",IF(H7&gt;=52,LOOKUP(E7,Lookups!AA$6:AA$20,Lookups!AE$6:AE$20)*H7*p_a/100,H7*125),0))</f>
        <v>1375</v>
      </c>
      <c r="K7" s="205">
        <f t="shared" ref="K7" si="1">IF(F7="","",IF(F7="Granular","-",(1/J7)^0.9*3.5+0.0025))</f>
        <v>7.743190244639547E-3</v>
      </c>
      <c r="L7" s="206">
        <f t="shared" ref="L7" si="2">IF(F7="","",IF(F7="Granular",IF(E_w&lt;C7,(N7^8)/12000000000-9,(N7^6)/16000000-11.5),IF(J7&lt;1500,J7^2/4500,J7/3)))</f>
        <v>420.13888888888891</v>
      </c>
      <c r="M7" s="207">
        <f t="shared" ref="M7" si="3">IF($E7="","",IF((0.77*LOG(40/(R7/1000)))&gt;2,2,(0.77*LOG(40/(R7/1000)))))</f>
        <v>1.6670068016755106</v>
      </c>
      <c r="N7" s="203">
        <f>IF($E7="","",IF(F7="Cohesive",LOOKUP($H7,Lookups!$AC$24:$AC$46,Lookups!AD$24:AD$46)+LOOKUP(E7,Lookups!$AA$6:$AA$20,Lookups!$AC$6:$AC$20),LOOKUP($H7,Lookups!$AA$24:$AA$39,Lookups!AB$24:AB$39)+LOOKUP(E7,Lookups!$AA$6:$AA$15,Lookups!$AB$6:$AB$15)))</f>
        <v>23</v>
      </c>
      <c r="O7" s="206">
        <f>IF($E7="","",IF(F7="Cohesive",LOOKUP($G7,Lookups!$K$6:$K$19,Lookups!X$6:X$19),LOOKUP($G7,Lookups!$K$24:$K$34,Lookups!X$24:X$34)))</f>
        <v>120</v>
      </c>
      <c r="P7" s="208">
        <f t="shared" ref="P7" si="4">IF($E7="","",IF(E_w&lt;C7,O7,IF(B7&lt;E_w,V7,(((B7-E_w)*O7)+((E_w-C7)*V7))/(B7-C7))))</f>
        <v>57.6</v>
      </c>
      <c r="Q7" s="209">
        <f>IF(E7="","",P7/(12^3))</f>
        <v>3.3333333333333333E-2</v>
      </c>
      <c r="R7" s="210">
        <f>IF($E7="","",((B7-C7)/2)*P7)</f>
        <v>273.60000000000002</v>
      </c>
      <c r="S7" s="211" t="str">
        <f t="shared" ref="S7:S13" si="5">IF($E7="","",IF(E_w&lt;C7," w/o Water"," with Water"))</f>
        <v xml:space="preserve"> with Water</v>
      </c>
      <c r="T7" s="212">
        <f>IF($E7="","",IF(F7="Cohesive",LOOKUP($G7,Lookups!$K$6:$K$19,Lookups!V$6:V$19),LOOKUP($G7,Lookups!$K$24:$K$34,Lookups!V$24:V$34)))</f>
        <v>100</v>
      </c>
      <c r="U7" s="213">
        <f>IF($E7="","",IF(F7="Cohesive",LOOKUP($G7,Lookups!$K$6:$K$19,Lookups!W$6:W$19),LOOKUP($G7,Lookups!$K$24:$K$34,Lookups!W$24:W$34)))</f>
        <v>110</v>
      </c>
      <c r="V7" s="214">
        <f t="shared" ref="V7:V13" si="6">IF($E7="","",IF(O7&gt;0,O7-62.4,""))</f>
        <v>57.6</v>
      </c>
    </row>
    <row r="8" spans="1:22" x14ac:dyDescent="0.2">
      <c r="A8" s="12">
        <v>2</v>
      </c>
      <c r="B8" s="201"/>
      <c r="C8" s="126"/>
      <c r="D8" s="201"/>
      <c r="E8" s="261"/>
      <c r="F8" s="261"/>
      <c r="G8" s="262"/>
      <c r="H8" s="202"/>
      <c r="I8" s="203"/>
      <c r="J8" s="204"/>
      <c r="K8" s="205"/>
      <c r="L8" s="206"/>
      <c r="M8" s="207"/>
      <c r="N8" s="203"/>
      <c r="O8" s="206"/>
      <c r="P8" s="208"/>
      <c r="Q8" s="209"/>
      <c r="R8" s="210" t="str">
        <f t="shared" ref="R8:R13" si="7">IF($E8="","",((B7-C7)/2*P7)+((B8-C8)/2*P8)+R7)</f>
        <v/>
      </c>
      <c r="S8" s="211" t="str">
        <f t="shared" si="5"/>
        <v/>
      </c>
      <c r="T8" s="212" t="str">
        <f>IF($E8="","",IF(F8="Cohesive",LOOKUP($G8,Lookups!$K$6:$K$19,Lookups!V$6:V$19),LOOKUP($G8,Lookups!$K$24:$K$34,Lookups!V$24:V$34)))</f>
        <v/>
      </c>
      <c r="U8" s="213" t="str">
        <f>IF($E8="","",IF(F8="Cohesive",LOOKUP($G8,Lookups!$K$6:$K$19,Lookups!W$6:W$19),LOOKUP($G8,Lookups!$K$24:$K$34,Lookups!W$24:W$34)))</f>
        <v/>
      </c>
      <c r="V8" s="214" t="str">
        <f t="shared" si="6"/>
        <v/>
      </c>
    </row>
    <row r="9" spans="1:22" x14ac:dyDescent="0.2">
      <c r="A9" s="12">
        <v>3</v>
      </c>
      <c r="B9" s="201"/>
      <c r="C9" s="126"/>
      <c r="D9" s="201"/>
      <c r="E9" s="261"/>
      <c r="F9" s="261"/>
      <c r="G9" s="262"/>
      <c r="H9" s="202"/>
      <c r="I9" s="203"/>
      <c r="J9" s="204"/>
      <c r="K9" s="205"/>
      <c r="L9" s="206"/>
      <c r="M9" s="207"/>
      <c r="N9" s="203"/>
      <c r="O9" s="206"/>
      <c r="P9" s="208"/>
      <c r="Q9" s="209"/>
      <c r="R9" s="210" t="str">
        <f t="shared" si="7"/>
        <v/>
      </c>
      <c r="S9" s="211" t="str">
        <f t="shared" si="5"/>
        <v/>
      </c>
      <c r="T9" s="212" t="str">
        <f>IF($E9="","",IF(F9="Cohesive",LOOKUP($G9,Lookups!$K$6:$K$19,Lookups!V$6:V$19),LOOKUP($G9,Lookups!$K$24:$K$34,Lookups!V$24:V$34)))</f>
        <v/>
      </c>
      <c r="U9" s="213" t="str">
        <f>IF($E9="","",IF(F9="Cohesive",LOOKUP($G9,Lookups!$K$6:$K$19,Lookups!W$6:W$19),LOOKUP($G9,Lookups!$K$24:$K$34,Lookups!W$24:W$34)))</f>
        <v/>
      </c>
      <c r="V9" s="214" t="str">
        <f t="shared" si="6"/>
        <v/>
      </c>
    </row>
    <row r="10" spans="1:22" x14ac:dyDescent="0.2">
      <c r="A10" s="12">
        <v>4</v>
      </c>
      <c r="B10" s="201"/>
      <c r="C10" s="126"/>
      <c r="D10" s="201"/>
      <c r="E10" s="261"/>
      <c r="F10" s="261"/>
      <c r="G10" s="262"/>
      <c r="H10" s="202"/>
      <c r="I10" s="203"/>
      <c r="J10" s="204"/>
      <c r="K10" s="205"/>
      <c r="L10" s="206"/>
      <c r="M10" s="207"/>
      <c r="N10" s="203"/>
      <c r="O10" s="206"/>
      <c r="P10" s="208"/>
      <c r="Q10" s="209"/>
      <c r="R10" s="210" t="str">
        <f t="shared" si="7"/>
        <v/>
      </c>
      <c r="S10" s="211" t="str">
        <f t="shared" si="5"/>
        <v/>
      </c>
      <c r="T10" s="212" t="str">
        <f>IF($E10="","",IF(F10="Cohesive",LOOKUP($G10,Lookups!$K$6:$K$19,Lookups!V$6:V$19),LOOKUP($G10,Lookups!$K$24:$K$34,Lookups!V$24:V$34)))</f>
        <v/>
      </c>
      <c r="U10" s="213" t="str">
        <f>IF($E10="","",IF(F10="Cohesive",LOOKUP($G10,Lookups!$K$6:$K$19,Lookups!W$6:W$19),LOOKUP($G10,Lookups!$K$24:$K$34,Lookups!W$24:W$34)))</f>
        <v/>
      </c>
      <c r="V10" s="214" t="str">
        <f t="shared" si="6"/>
        <v/>
      </c>
    </row>
    <row r="11" spans="1:22" x14ac:dyDescent="0.2">
      <c r="A11" s="12">
        <v>5</v>
      </c>
      <c r="B11" s="201"/>
      <c r="C11" s="126"/>
      <c r="D11" s="201"/>
      <c r="E11" s="261"/>
      <c r="F11" s="261"/>
      <c r="G11" s="262"/>
      <c r="H11" s="202"/>
      <c r="I11" s="203"/>
      <c r="J11" s="204"/>
      <c r="K11" s="205"/>
      <c r="L11" s="206"/>
      <c r="M11" s="207"/>
      <c r="N11" s="203"/>
      <c r="O11" s="206"/>
      <c r="P11" s="208"/>
      <c r="Q11" s="209"/>
      <c r="R11" s="210" t="str">
        <f t="shared" si="7"/>
        <v/>
      </c>
      <c r="S11" s="211" t="str">
        <f t="shared" si="5"/>
        <v/>
      </c>
      <c r="T11" s="212" t="str">
        <f>IF($E11="","",IF(F11="Cohesive",LOOKUP($G11,Lookups!$K$6:$K$19,Lookups!V$6:V$19),LOOKUP($G11,Lookups!$K$24:$K$34,Lookups!V$24:V$34)))</f>
        <v/>
      </c>
      <c r="U11" s="213" t="str">
        <f>IF($E11="","",IF(F11="Cohesive",LOOKUP($G11,Lookups!$K$6:$K$19,Lookups!W$6:W$19),LOOKUP($G11,Lookups!$K$24:$K$34,Lookups!W$24:W$34)))</f>
        <v/>
      </c>
      <c r="V11" s="214" t="str">
        <f t="shared" si="6"/>
        <v/>
      </c>
    </row>
    <row r="12" spans="1:22" x14ac:dyDescent="0.2">
      <c r="A12" s="12">
        <v>6</v>
      </c>
      <c r="B12" s="201" t="str">
        <f>IF(C12="","",#REF!)</f>
        <v/>
      </c>
      <c r="C12" s="126"/>
      <c r="D12" s="201" t="str">
        <f t="shared" ref="D12:D13" si="8">IF(C12="","",K$1-C12)</f>
        <v/>
      </c>
      <c r="E12" s="126"/>
      <c r="F12" s="126"/>
      <c r="G12" s="127"/>
      <c r="H12" s="202" t="str">
        <f t="shared" ref="H12:H13" si="9">IF($E12="","",IF(F12="Cohesive",G12,G12*M12))</f>
        <v/>
      </c>
      <c r="I12" s="203" t="str">
        <f>IF($E12="","",IF(F12="Cohesive",IF($H12&lt;7,LOOKUP($H12,Lookups!$K$6:$K$19,Lookups!Y$6:Y$19),CONCATENATE(LOOKUP($H12,Lookups!$K$6:$K$19,Lookups!Y$6:Y$19),S12)),"Sand (Reese)"))</f>
        <v/>
      </c>
      <c r="J12" s="204" t="str">
        <f>IF($E12="","",IF(F12="Cohesive",IF(H12&gt;=52,LOOKUP(E12,Lookups!AA$6:AA$20,Lookups!AE$6:AE$20)*H12*p_a/100,H12*125),0))</f>
        <v/>
      </c>
      <c r="K12" s="205" t="str">
        <f t="shared" ref="K12:K13" si="10">IF(F12="","",IF(F12="Granular","-",(1/J12)^0.9*3.5+0.0025))</f>
        <v/>
      </c>
      <c r="L12" s="206" t="str">
        <f t="shared" ref="L12:L13" si="11">IF(F12="","",IF(F12="Granular",IF(E_w&lt;C12,(N12^8)/12000000000-9,(N12^6)/16000000-11.5),IF(J12&lt;1500,J12^2/4500,J12/3)))</f>
        <v/>
      </c>
      <c r="M12" s="207" t="str">
        <f t="shared" ref="M12:M13" si="12">IF($E12="","",IF((0.77*LOG(40/(R12/1000)))&gt;2,2,(0.77*LOG(40/(R12/1000)))))</f>
        <v/>
      </c>
      <c r="N12" s="203" t="str">
        <f>IF($E12="","",IF(F12="Cohesive",LOOKUP($H12,Lookups!$AC$24:$AC$46,Lookups!AD$24:AD$46)+LOOKUP(E12,Lookups!$AA$6:$AA$20,Lookups!$AC$6:$AC$20),LOOKUP($H12,Lookups!$AA$24:$AA$39,Lookups!AB$24:AB$39)+LOOKUP(E12,Lookups!$AA$6:$AA$15,Lookups!$AB$6:$AB$15)))</f>
        <v/>
      </c>
      <c r="O12" s="206" t="str">
        <f>IF($E12="","",IF(F12="Cohesive",LOOKUP($G12,Lookups!$K$6:$K$19,Lookups!X$6:X$19),LOOKUP($G12,Lookups!$K$24:$K$34,Lookups!X$24:X$34)))</f>
        <v/>
      </c>
      <c r="P12" s="208" t="str">
        <f t="shared" ref="P12:P13" si="13">IF($E12="","",IF(E_w&lt;C12,O12,IF(B12&lt;E_w,V12,(((B12-E_w)*O12)+((E_w-C12)*V12))/(B12-C12))))</f>
        <v/>
      </c>
      <c r="Q12" s="209" t="str">
        <f t="shared" ref="Q12:Q13" si="14">IF(E12="","",P12/(12^3))</f>
        <v/>
      </c>
      <c r="R12" s="210" t="str">
        <f>IF($E12="","",((#REF!-#REF!)/2*#REF!)+((B12-C12)/2*P12)+#REF!)</f>
        <v/>
      </c>
      <c r="S12" s="211" t="str">
        <f t="shared" si="5"/>
        <v/>
      </c>
      <c r="T12" s="212" t="str">
        <f>IF($E12="","",IF(F12="Cohesive",LOOKUP($G12,Lookups!$K$6:$K$19,Lookups!V$6:V$19),LOOKUP($G12,Lookups!$K$24:$K$34,Lookups!V$24:V$34)))</f>
        <v/>
      </c>
      <c r="U12" s="213" t="str">
        <f>IF($E12="","",IF(F12="Cohesive",LOOKUP($G12,Lookups!$K$6:$K$19,Lookups!W$6:W$19),LOOKUP($G12,Lookups!$K$24:$K$34,Lookups!W$24:W$34)))</f>
        <v/>
      </c>
      <c r="V12" s="214" t="str">
        <f t="shared" si="6"/>
        <v/>
      </c>
    </row>
    <row r="13" spans="1:22" ht="13.5" thickBot="1" x14ac:dyDescent="0.25">
      <c r="A13" s="13">
        <v>7</v>
      </c>
      <c r="B13" s="215" t="str">
        <f t="shared" ref="B13" si="15">IF(C13="","",C12)</f>
        <v/>
      </c>
      <c r="C13" s="128"/>
      <c r="D13" s="215" t="str">
        <f t="shared" si="8"/>
        <v/>
      </c>
      <c r="E13" s="128"/>
      <c r="F13" s="128"/>
      <c r="G13" s="129"/>
      <c r="H13" s="216" t="str">
        <f t="shared" si="9"/>
        <v/>
      </c>
      <c r="I13" s="217" t="str">
        <f>IF($E13="","",IF(F13="Cohesive",IF($H13&lt;7,LOOKUP($H13,Lookups!$K$6:$K$19,Lookups!Y$6:Y$19),CONCATENATE(LOOKUP($H13,Lookups!$K$6:$K$19,Lookups!Y$6:Y$19),S13)),"Sand (Reese)"))</f>
        <v/>
      </c>
      <c r="J13" s="218" t="str">
        <f>IF($E13="","",IF(F13="Cohesive",IF(H13&gt;=52,LOOKUP(E13,Lookups!AA$6:AA$20,Lookups!AE$6:AE$20)*H13*p_a/100,H13*125),0))</f>
        <v/>
      </c>
      <c r="K13" s="219" t="str">
        <f t="shared" si="10"/>
        <v/>
      </c>
      <c r="L13" s="220" t="str">
        <f t="shared" si="11"/>
        <v/>
      </c>
      <c r="M13" s="221" t="str">
        <f t="shared" si="12"/>
        <v/>
      </c>
      <c r="N13" s="217" t="str">
        <f>IF($E13="","",IF(F13="Cohesive",LOOKUP($H13,Lookups!$AC$24:$AC$46,Lookups!AD$24:AD$46)+LOOKUP(E13,Lookups!$AA$6:$AA$20,Lookups!$AC$6:$AC$20),LOOKUP($H13,Lookups!$AA$24:$AA$39,Lookups!AB$24:AB$39)+LOOKUP(E13,Lookups!$AA$6:$AA$15,Lookups!$AB$6:$AB$15)))</f>
        <v/>
      </c>
      <c r="O13" s="220" t="str">
        <f>IF($E13="","",IF(F13="Cohesive",LOOKUP($G13,Lookups!$K$6:$K$19,Lookups!X$6:X$19),LOOKUP($G13,Lookups!$K$24:$K$34,Lookups!X$24:X$34)))</f>
        <v/>
      </c>
      <c r="P13" s="222" t="str">
        <f t="shared" si="13"/>
        <v/>
      </c>
      <c r="Q13" s="223" t="str">
        <f t="shared" si="14"/>
        <v/>
      </c>
      <c r="R13" s="224" t="str">
        <f t="shared" si="7"/>
        <v/>
      </c>
      <c r="S13" s="225" t="str">
        <f t="shared" si="5"/>
        <v/>
      </c>
      <c r="T13" s="226" t="str">
        <f>IF($E13="","",IF(F13="Cohesive",LOOKUP($G13,Lookups!$K$6:$K$19,Lookups!V$6:V$19),LOOKUP($G13,Lookups!$K$24:$K$34,Lookups!V$24:V$34)))</f>
        <v/>
      </c>
      <c r="U13" s="227" t="str">
        <f>IF($E13="","",IF(F13="Cohesive",LOOKUP($G13,Lookups!$K$6:$K$19,Lookups!W$6:W$19),LOOKUP($G13,Lookups!$K$24:$K$34,Lookups!W$24:W$34)))</f>
        <v/>
      </c>
      <c r="V13" s="228" t="str">
        <f t="shared" si="6"/>
        <v/>
      </c>
    </row>
    <row r="14" spans="1:22" ht="13.5" thickBot="1" x14ac:dyDescent="0.25">
      <c r="P14" s="229"/>
    </row>
    <row r="15" spans="1:22" ht="13.5" thickBot="1" x14ac:dyDescent="0.25">
      <c r="A15" s="34" t="s">
        <v>134</v>
      </c>
      <c r="I15" s="167"/>
      <c r="J15" s="168" t="s">
        <v>138</v>
      </c>
      <c r="K15" s="256">
        <v>1271.5999999999999</v>
      </c>
      <c r="P15" s="229"/>
    </row>
    <row r="16" spans="1:22" s="178" customFormat="1" ht="13.5" thickBot="1" x14ac:dyDescent="0.25">
      <c r="A16" s="164" t="s">
        <v>75</v>
      </c>
      <c r="B16" s="10" t="s">
        <v>77</v>
      </c>
      <c r="C16" s="10" t="s">
        <v>81</v>
      </c>
      <c r="D16" s="10" t="s">
        <v>75</v>
      </c>
      <c r="E16" s="10"/>
      <c r="F16" s="10"/>
      <c r="G16" s="118"/>
      <c r="H16" s="118"/>
      <c r="I16" s="11" t="s">
        <v>147</v>
      </c>
      <c r="J16" s="230" t="s">
        <v>90</v>
      </c>
      <c r="K16" s="181"/>
      <c r="L16" s="266" t="s">
        <v>156</v>
      </c>
      <c r="M16" s="267"/>
      <c r="N16" s="268"/>
      <c r="O16" s="263" t="s">
        <v>58</v>
      </c>
      <c r="P16" s="264"/>
      <c r="Q16" s="265"/>
      <c r="R16" s="177"/>
      <c r="S16" s="231"/>
      <c r="T16" s="177"/>
      <c r="U16" s="177"/>
      <c r="V16" s="177"/>
    </row>
    <row r="17" spans="1:22" s="178" customFormat="1" ht="18" x14ac:dyDescent="0.35">
      <c r="A17" s="179" t="s">
        <v>76</v>
      </c>
      <c r="B17" s="34" t="s">
        <v>78</v>
      </c>
      <c r="C17" s="34" t="s">
        <v>78</v>
      </c>
      <c r="D17" s="34" t="s">
        <v>99</v>
      </c>
      <c r="E17" s="34" t="s">
        <v>137</v>
      </c>
      <c r="F17" s="34" t="s">
        <v>135</v>
      </c>
      <c r="G17" s="174" t="s">
        <v>128</v>
      </c>
      <c r="H17" s="34" t="s">
        <v>153</v>
      </c>
      <c r="I17" s="35" t="s">
        <v>148</v>
      </c>
      <c r="J17" s="180" t="s">
        <v>38</v>
      </c>
      <c r="K17" s="232"/>
      <c r="L17" s="163" t="s">
        <v>151</v>
      </c>
      <c r="M17" s="180" t="s">
        <v>169</v>
      </c>
      <c r="N17" s="180" t="s">
        <v>154</v>
      </c>
      <c r="O17" s="184" t="s">
        <v>88</v>
      </c>
      <c r="P17" s="233" t="s">
        <v>89</v>
      </c>
      <c r="Q17" s="186" t="s">
        <v>89</v>
      </c>
      <c r="R17" s="187" t="s">
        <v>96</v>
      </c>
      <c r="S17" s="234" t="s">
        <v>97</v>
      </c>
      <c r="T17" s="189" t="s">
        <v>32</v>
      </c>
      <c r="U17" s="190" t="s">
        <v>33</v>
      </c>
      <c r="V17" s="187" t="s">
        <v>95</v>
      </c>
    </row>
    <row r="18" spans="1:22" s="178" customFormat="1" ht="14.25" x14ac:dyDescent="0.25">
      <c r="A18" s="191" t="s">
        <v>80</v>
      </c>
      <c r="B18" s="60" t="s">
        <v>79</v>
      </c>
      <c r="C18" s="60" t="s">
        <v>79</v>
      </c>
      <c r="D18" s="60" t="s">
        <v>79</v>
      </c>
      <c r="E18" s="60" t="s">
        <v>46</v>
      </c>
      <c r="F18" s="60" t="s">
        <v>82</v>
      </c>
      <c r="G18" s="192" t="s">
        <v>129</v>
      </c>
      <c r="H18" s="60" t="s">
        <v>152</v>
      </c>
      <c r="I18" s="61" t="s">
        <v>149</v>
      </c>
      <c r="J18" s="193" t="s">
        <v>103</v>
      </c>
      <c r="K18" s="194" t="s">
        <v>124</v>
      </c>
      <c r="L18" s="235" t="s">
        <v>103</v>
      </c>
      <c r="M18" s="193" t="s">
        <v>150</v>
      </c>
      <c r="N18" s="193" t="s">
        <v>103</v>
      </c>
      <c r="O18" s="193" t="s">
        <v>161</v>
      </c>
      <c r="P18" s="193" t="s">
        <v>161</v>
      </c>
      <c r="Q18" s="193" t="s">
        <v>144</v>
      </c>
      <c r="R18" s="196" t="s">
        <v>3</v>
      </c>
      <c r="S18" s="236"/>
      <c r="T18" s="198" t="s">
        <v>40</v>
      </c>
      <c r="U18" s="199" t="s">
        <v>40</v>
      </c>
      <c r="V18" s="200" t="s">
        <v>40</v>
      </c>
    </row>
    <row r="19" spans="1:22" x14ac:dyDescent="0.2">
      <c r="A19" s="15">
        <f>IF(B19="",21,LOOKUP(D19,D7:D13,A7:A13)+1)</f>
        <v>2</v>
      </c>
      <c r="B19" s="237">
        <v>1271.5999999999999</v>
      </c>
      <c r="C19" s="157">
        <v>1260</v>
      </c>
      <c r="D19" s="237">
        <f>IF(C19="","",(K$1-C19))</f>
        <v>29.099999999999909</v>
      </c>
      <c r="E19" s="237" t="str">
        <f>IF(B19="","","Rock")</f>
        <v>Rock</v>
      </c>
      <c r="F19" s="157" t="s">
        <v>145</v>
      </c>
      <c r="G19" s="158">
        <v>10</v>
      </c>
      <c r="H19" s="157" t="s">
        <v>131</v>
      </c>
      <c r="I19" s="238" t="str">
        <f>IF(B19="","","Weak Rock")</f>
        <v>Weak Rock</v>
      </c>
      <c r="J19" s="253">
        <v>250</v>
      </c>
      <c r="K19" s="257">
        <f t="shared" ref="K19" si="16">IF(B19="","",IF(J19&gt;2500,0.00005,IF(J19&lt;400,0.0005,1/(4.8*J19)-0.00003)))</f>
        <v>5.0000000000000001E-4</v>
      </c>
      <c r="L19" s="241">
        <f t="shared" ref="L19:L22" si="17">IF(B19="","",IF(J19&gt;11110,ROUND(J19*90,-5),IF(J19&gt;1110,ROUND(J19*90,-4),IF(J19&gt;110,ROUND(J19*90,-3),J19*90))))</f>
        <v>23000</v>
      </c>
      <c r="M19" s="258">
        <f>IF(B19="","",IF(G19&lt;1.1,IF(H19="Closed",LOOKUP(G19,Lookups!O$67:O$85,Lookups!P$67:P$85),LOOKUP(G19,Lookups!O$67:O$85,Lookups!Q$67:Q$85)),IF(H19="Closed",LOOKUP(G19,Lookups!N$67:N$85,Lookups!P$67:P$85),LOOKUP(G19,Lookups!N$67:N$85,Lookups!Q$67:Q$85))))</f>
        <v>0.04</v>
      </c>
      <c r="N19" s="238">
        <f t="shared" ref="N19:N22" si="18">IF(B19="","",M19*L19)</f>
        <v>920</v>
      </c>
      <c r="O19" s="241">
        <f>IF(B19="","",M19^0.05*LOOKUP(F19,Lookups!U$67:U$73,Lookups!V$67:V$73)*(J19/LOOKUP(F19,Lookups!U$67:U$73,Lookups!W$67:W$73))^0.05)</f>
        <v>130.56736705369252</v>
      </c>
      <c r="P19" s="242">
        <f t="shared" ref="P19:P22" si="19">IF($B19="","",IF(E_w&lt;C19,O19,IF(B19&lt;E_w,V19,(((B19-E_w)*O19)+((E_w-C19)*V19))/(B19-C19))))</f>
        <v>68.167367053692516</v>
      </c>
      <c r="Q19" s="243">
        <f>IF(B19="","",P19/(12^3))</f>
        <v>3.9448707785701691E-2</v>
      </c>
      <c r="R19" s="244"/>
      <c r="S19" s="245"/>
      <c r="T19" s="246"/>
      <c r="U19" s="247"/>
      <c r="V19" s="248">
        <f t="shared" ref="V19:V22" si="20">IF($E19="","",IF(O19&gt;0,O19-62.4,""))</f>
        <v>68.167367053692516</v>
      </c>
    </row>
    <row r="20" spans="1:22" x14ac:dyDescent="0.2">
      <c r="A20" s="12">
        <f>A19+1</f>
        <v>3</v>
      </c>
      <c r="B20" s="201"/>
      <c r="C20" s="126"/>
      <c r="D20" s="201"/>
      <c r="E20" s="201"/>
      <c r="F20" s="126"/>
      <c r="G20" s="127"/>
      <c r="H20" s="126"/>
      <c r="I20" s="203"/>
      <c r="J20" s="254"/>
      <c r="K20" s="239"/>
      <c r="L20" s="206"/>
      <c r="M20" s="240"/>
      <c r="N20" s="203"/>
      <c r="O20" s="206"/>
      <c r="P20" s="208"/>
      <c r="Q20" s="209"/>
      <c r="R20" s="210"/>
      <c r="S20" s="249"/>
      <c r="T20" s="212"/>
      <c r="U20" s="213"/>
      <c r="V20" s="214" t="str">
        <f t="shared" si="20"/>
        <v/>
      </c>
    </row>
    <row r="21" spans="1:22" x14ac:dyDescent="0.2">
      <c r="A21" s="12">
        <f t="shared" ref="A21:A22" si="21">A20+1</f>
        <v>4</v>
      </c>
      <c r="B21" s="201"/>
      <c r="C21" s="126"/>
      <c r="D21" s="201"/>
      <c r="E21" s="201"/>
      <c r="F21" s="126"/>
      <c r="G21" s="127"/>
      <c r="H21" s="126"/>
      <c r="I21" s="203"/>
      <c r="J21" s="254"/>
      <c r="K21" s="239"/>
      <c r="L21" s="206"/>
      <c r="M21" s="240"/>
      <c r="N21" s="203"/>
      <c r="O21" s="206"/>
      <c r="P21" s="208"/>
      <c r="Q21" s="209"/>
      <c r="R21" s="210"/>
      <c r="S21" s="249"/>
      <c r="T21" s="212"/>
      <c r="U21" s="213"/>
      <c r="V21" s="214" t="str">
        <f t="shared" si="20"/>
        <v/>
      </c>
    </row>
    <row r="22" spans="1:22" ht="13.5" thickBot="1" x14ac:dyDescent="0.25">
      <c r="A22" s="13">
        <f t="shared" si="21"/>
        <v>5</v>
      </c>
      <c r="B22" s="215" t="str">
        <f>IF(C22="","",#REF!)</f>
        <v/>
      </c>
      <c r="C22" s="128"/>
      <c r="D22" s="215" t="str">
        <f t="shared" ref="D22" si="22">IF(C22="","",K$1-C22)</f>
        <v/>
      </c>
      <c r="E22" s="215" t="str">
        <f t="shared" ref="E22" si="23">IF(B22="","","Rock")</f>
        <v/>
      </c>
      <c r="F22" s="128"/>
      <c r="G22" s="129"/>
      <c r="H22" s="128"/>
      <c r="I22" s="217" t="str">
        <f t="shared" ref="I22" si="24">IF(B22="","","Weak Rock")</f>
        <v/>
      </c>
      <c r="J22" s="255"/>
      <c r="K22" s="250" t="str">
        <f>IF(B22="","",IF(J22&gt;2500,0.00005,IF(J22&lt;400,0.0005,1/(4.8*J22)-0.00003)))</f>
        <v/>
      </c>
      <c r="L22" s="220" t="str">
        <f t="shared" si="17"/>
        <v/>
      </c>
      <c r="M22" s="251" t="str">
        <f>IF(B22="","",IF(G22&lt;1.1,IF(H22="Closed",LOOKUP(G22,Lookups!O$67:O$85,Lookups!P$67:P$85),LOOKUP(G22,Lookups!O$67:O$85,Lookups!Q$67:Q$85)),IF(H22="Closed",LOOKUP(G22,Lookups!N$67:N$85,Lookups!P$67:P$85),LOOKUP(G22,Lookups!N$67:N$85,Lookups!Q$67:Q$85))))</f>
        <v/>
      </c>
      <c r="N22" s="217" t="str">
        <f t="shared" si="18"/>
        <v/>
      </c>
      <c r="O22" s="220" t="str">
        <f>IF(B22="","",M22^0.05*LOOKUP(F22,Lookups!U$67:U$73,Lookups!V$67:V$73)*(J22/LOOKUP(F22,Lookups!U$67:U$73,Lookups!W$67:W$73))^0.05)</f>
        <v/>
      </c>
      <c r="P22" s="222" t="str">
        <f t="shared" si="19"/>
        <v/>
      </c>
      <c r="Q22" s="223" t="str">
        <f t="shared" ref="Q22" si="25">IF(B22="","",P22/(12^3))</f>
        <v/>
      </c>
      <c r="R22" s="224"/>
      <c r="S22" s="252"/>
      <c r="T22" s="226"/>
      <c r="U22" s="227"/>
      <c r="V22" s="228" t="str">
        <f t="shared" si="20"/>
        <v/>
      </c>
    </row>
  </sheetData>
  <mergeCells count="6">
    <mergeCell ref="O4:Q4"/>
    <mergeCell ref="O16:Q16"/>
    <mergeCell ref="L16:N16"/>
    <mergeCell ref="J4:K4"/>
    <mergeCell ref="B1:D1"/>
    <mergeCell ref="B2:D2"/>
  </mergeCells>
  <phoneticPr fontId="0" type="noConversion"/>
  <printOptions horizontalCentered="1" gridLines="1"/>
  <pageMargins left="0.25" right="0.25" top="1" bottom="1" header="0.5" footer="0.5"/>
  <pageSetup scale="9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Lookups!$AA$6:$AA$20</xm:f>
          </x14:formula1>
          <xm:sqref>E7:E13</xm:sqref>
        </x14:dataValidation>
        <x14:dataValidation type="list" allowBlank="1" showInputMessage="1" showErrorMessage="1" xr:uid="{00000000-0002-0000-0000-000001000000}">
          <x14:formula1>
            <xm:f>Lookups!$AB$2:$AC$2</xm:f>
          </x14:formula1>
          <xm:sqref>F7:F13</xm:sqref>
        </x14:dataValidation>
        <x14:dataValidation type="list" allowBlank="1" showInputMessage="1" showErrorMessage="1" xr:uid="{00000000-0002-0000-0000-000002000000}">
          <x14:formula1>
            <xm:f>Lookups!$P$66:$Q$66</xm:f>
          </x14:formula1>
          <xm:sqref>H19:H22</xm:sqref>
        </x14:dataValidation>
        <x14:dataValidation type="list" allowBlank="1" showInputMessage="1" showErrorMessage="1" xr:uid="{00000000-0002-0000-0000-000003000000}">
          <x14:formula1>
            <xm:f>Lookups!$U$67:$U$73</xm:f>
          </x14:formula1>
          <xm:sqref>F19:F22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86"/>
  <sheetViews>
    <sheetView workbookViewId="0"/>
  </sheetViews>
  <sheetFormatPr defaultRowHeight="12.75" x14ac:dyDescent="0.2"/>
  <cols>
    <col min="1" max="1" width="14.42578125" bestFit="1" customWidth="1"/>
    <col min="2" max="2" width="6" customWidth="1"/>
    <col min="3" max="3" width="2.140625" customWidth="1"/>
    <col min="4" max="4" width="6" customWidth="1"/>
    <col min="5" max="5" width="6.28515625" customWidth="1"/>
    <col min="6" max="6" width="2.140625" customWidth="1"/>
    <col min="7" max="8" width="6.28515625" customWidth="1"/>
    <col min="9" max="9" width="2.140625" customWidth="1"/>
    <col min="10" max="10" width="6.28515625" customWidth="1"/>
    <col min="11" max="11" width="4.140625" customWidth="1"/>
    <col min="12" max="12" width="2.140625" customWidth="1"/>
    <col min="13" max="13" width="4.140625" customWidth="1"/>
    <col min="14" max="16" width="9.140625" style="1"/>
    <col min="17" max="17" width="10.42578125" style="1" bestFit="1" customWidth="1"/>
    <col min="18" max="18" width="10.42578125" style="1" customWidth="1"/>
    <col min="21" max="21" width="12" style="1" bestFit="1" customWidth="1"/>
    <col min="22" max="22" width="12" bestFit="1" customWidth="1"/>
    <col min="24" max="24" width="12.42578125" bestFit="1" customWidth="1"/>
  </cols>
  <sheetData>
    <row r="1" spans="1:32" ht="18" x14ac:dyDescent="0.25">
      <c r="AB1" s="120" t="s">
        <v>93</v>
      </c>
      <c r="AC1" s="1">
        <v>2116.5</v>
      </c>
      <c r="AD1" s="121" t="s">
        <v>3</v>
      </c>
      <c r="AE1" s="31"/>
      <c r="AF1" s="31"/>
    </row>
    <row r="2" spans="1:32" ht="13.5" thickBot="1" x14ac:dyDescent="0.25">
      <c r="AB2" s="37" t="s">
        <v>85</v>
      </c>
      <c r="AC2" s="37" t="s">
        <v>84</v>
      </c>
      <c r="AD2" s="37" t="s">
        <v>57</v>
      </c>
    </row>
    <row r="3" spans="1:32" ht="13.5" thickBot="1" x14ac:dyDescent="0.25">
      <c r="A3" s="6" t="s">
        <v>19</v>
      </c>
      <c r="B3" s="1"/>
      <c r="C3" s="1"/>
      <c r="D3" s="1"/>
      <c r="E3" s="8"/>
      <c r="F3" s="1"/>
      <c r="G3" s="1"/>
      <c r="H3" s="1"/>
      <c r="I3" s="1"/>
      <c r="J3" s="1"/>
      <c r="K3" s="1"/>
      <c r="L3" s="1"/>
      <c r="M3" s="1"/>
      <c r="N3" s="54" t="s">
        <v>44</v>
      </c>
      <c r="O3" s="55"/>
      <c r="P3" s="56"/>
      <c r="Q3" s="75" t="s">
        <v>56</v>
      </c>
      <c r="R3" s="75" t="s">
        <v>56</v>
      </c>
      <c r="S3" s="274" t="s">
        <v>55</v>
      </c>
      <c r="T3" s="275"/>
      <c r="U3" s="75" t="s">
        <v>57</v>
      </c>
      <c r="V3" s="55"/>
      <c r="W3" s="14" t="s">
        <v>58</v>
      </c>
      <c r="X3" s="56"/>
      <c r="AB3" s="42" t="s">
        <v>29</v>
      </c>
      <c r="AC3" s="42" t="s">
        <v>29</v>
      </c>
      <c r="AD3" s="42" t="s">
        <v>29</v>
      </c>
    </row>
    <row r="4" spans="1:32" ht="14.25" x14ac:dyDescent="0.25">
      <c r="A4" s="76"/>
      <c r="B4" s="41"/>
      <c r="C4" s="10"/>
      <c r="D4" s="11"/>
      <c r="E4" s="49" t="s">
        <v>21</v>
      </c>
      <c r="F4" s="10"/>
      <c r="G4" s="26"/>
      <c r="H4" s="27"/>
      <c r="I4" s="10"/>
      <c r="J4" s="11"/>
      <c r="K4" s="58"/>
      <c r="L4" s="10" t="s">
        <v>43</v>
      </c>
      <c r="M4" s="11"/>
      <c r="N4" s="33" t="s">
        <v>27</v>
      </c>
      <c r="O4" s="34" t="s">
        <v>38</v>
      </c>
      <c r="P4" s="34" t="s">
        <v>38</v>
      </c>
      <c r="Q4" s="69" t="s">
        <v>30</v>
      </c>
      <c r="R4" s="69" t="s">
        <v>30</v>
      </c>
      <c r="S4" s="33" t="s">
        <v>28</v>
      </c>
      <c r="T4" s="42" t="s">
        <v>29</v>
      </c>
      <c r="U4" s="74" t="s">
        <v>37</v>
      </c>
      <c r="V4" s="40" t="s">
        <v>32</v>
      </c>
      <c r="W4" s="40" t="s">
        <v>33</v>
      </c>
      <c r="X4" s="42" t="s">
        <v>34</v>
      </c>
      <c r="AB4" s="37" t="s">
        <v>87</v>
      </c>
      <c r="AC4" s="37" t="s">
        <v>87</v>
      </c>
      <c r="AD4" s="37" t="s">
        <v>87</v>
      </c>
    </row>
    <row r="5" spans="1:32" ht="13.5" thickBot="1" x14ac:dyDescent="0.25">
      <c r="A5" s="77" t="s">
        <v>11</v>
      </c>
      <c r="B5" s="62"/>
      <c r="C5" s="60" t="s">
        <v>1</v>
      </c>
      <c r="D5" s="61"/>
      <c r="E5" s="12"/>
      <c r="F5" s="34" t="s">
        <v>2</v>
      </c>
      <c r="G5" s="23"/>
      <c r="H5" s="36"/>
      <c r="I5" s="34" t="s">
        <v>3</v>
      </c>
      <c r="J5" s="35"/>
      <c r="K5" s="59"/>
      <c r="L5" s="60" t="s">
        <v>42</v>
      </c>
      <c r="M5" s="61"/>
      <c r="N5" s="33" t="s">
        <v>42</v>
      </c>
      <c r="O5" s="34" t="s">
        <v>2</v>
      </c>
      <c r="P5" s="34" t="s">
        <v>3</v>
      </c>
      <c r="Q5" s="69" t="s">
        <v>3</v>
      </c>
      <c r="R5" s="69" t="s">
        <v>3</v>
      </c>
      <c r="S5" s="33" t="s">
        <v>3</v>
      </c>
      <c r="T5" s="42" t="s">
        <v>39</v>
      </c>
      <c r="U5" s="74" t="s">
        <v>39</v>
      </c>
      <c r="V5" s="40" t="s">
        <v>40</v>
      </c>
      <c r="W5" s="40" t="s">
        <v>40</v>
      </c>
      <c r="X5" s="42" t="s">
        <v>40</v>
      </c>
      <c r="AB5" s="37" t="s">
        <v>86</v>
      </c>
      <c r="AC5" s="37" t="s">
        <v>86</v>
      </c>
      <c r="AD5" s="37" t="s">
        <v>86</v>
      </c>
      <c r="AE5" s="119" t="s">
        <v>92</v>
      </c>
    </row>
    <row r="6" spans="1:32" x14ac:dyDescent="0.2">
      <c r="A6" s="38" t="s">
        <v>31</v>
      </c>
      <c r="B6" s="15"/>
      <c r="C6" s="16"/>
      <c r="D6" s="17"/>
      <c r="E6" s="15"/>
      <c r="F6" s="16"/>
      <c r="G6" s="22"/>
      <c r="H6" s="18"/>
      <c r="I6" s="16"/>
      <c r="J6" s="17"/>
      <c r="K6" s="16">
        <v>0</v>
      </c>
      <c r="L6" s="57" t="s">
        <v>5</v>
      </c>
      <c r="M6" s="16">
        <v>0</v>
      </c>
      <c r="N6" s="15">
        <v>0</v>
      </c>
      <c r="O6" s="16">
        <v>0</v>
      </c>
      <c r="P6" s="16">
        <v>0</v>
      </c>
      <c r="Q6" s="70">
        <f>P6/2</f>
        <v>0</v>
      </c>
      <c r="R6" s="122">
        <f t="shared" ref="R6:R19" si="0">f_1*N6*p_a/100</f>
        <v>0</v>
      </c>
      <c r="S6" s="15">
        <v>0</v>
      </c>
      <c r="T6" s="17">
        <v>12</v>
      </c>
      <c r="U6" s="70">
        <v>12</v>
      </c>
      <c r="V6" s="16">
        <v>80</v>
      </c>
      <c r="W6" s="16">
        <v>90</v>
      </c>
      <c r="X6" s="17">
        <v>100</v>
      </c>
      <c r="Y6" s="160" t="s">
        <v>139</v>
      </c>
      <c r="AA6" s="37" t="s">
        <v>59</v>
      </c>
      <c r="AB6">
        <v>2</v>
      </c>
      <c r="AC6" s="117">
        <f>AB6+1</f>
        <v>3</v>
      </c>
      <c r="AD6" s="117">
        <f>AB6+2</f>
        <v>4</v>
      </c>
      <c r="AE6" s="1">
        <v>5.7</v>
      </c>
    </row>
    <row r="7" spans="1:32" x14ac:dyDescent="0.2">
      <c r="A7" s="20" t="s">
        <v>12</v>
      </c>
      <c r="B7" s="12"/>
      <c r="C7" s="1" t="s">
        <v>13</v>
      </c>
      <c r="D7" s="3">
        <v>2</v>
      </c>
      <c r="E7" s="12"/>
      <c r="F7" s="1" t="s">
        <v>13</v>
      </c>
      <c r="G7" s="23">
        <v>0.25</v>
      </c>
      <c r="H7" s="19"/>
      <c r="I7" s="1" t="s">
        <v>13</v>
      </c>
      <c r="J7" s="3">
        <f t="shared" ref="J7:J17" si="1">G7*2000</f>
        <v>500</v>
      </c>
      <c r="K7" s="1">
        <v>1</v>
      </c>
      <c r="L7" s="52" t="s">
        <v>5</v>
      </c>
      <c r="M7" s="1">
        <v>1</v>
      </c>
      <c r="N7" s="12">
        <f t="shared" ref="N7:N12" si="2">P7/250</f>
        <v>1</v>
      </c>
      <c r="O7" s="1">
        <f t="shared" ref="O7:O10" si="3">P7/2000</f>
        <v>0.125</v>
      </c>
      <c r="P7" s="1">
        <v>250</v>
      </c>
      <c r="Q7" s="71">
        <f t="shared" ref="Q7:Q15" si="4">P7/2</f>
        <v>125</v>
      </c>
      <c r="R7" s="123">
        <f t="shared" si="0"/>
        <v>116.4075</v>
      </c>
      <c r="S7" s="12">
        <v>10</v>
      </c>
      <c r="T7" s="3">
        <v>16</v>
      </c>
      <c r="U7" s="71">
        <v>18</v>
      </c>
      <c r="V7" s="1">
        <v>85</v>
      </c>
      <c r="W7" s="1">
        <v>95</v>
      </c>
      <c r="X7" s="3">
        <v>105</v>
      </c>
      <c r="Y7" s="159" t="s">
        <v>139</v>
      </c>
      <c r="AA7" s="37" t="s">
        <v>60</v>
      </c>
      <c r="AB7">
        <v>1</v>
      </c>
      <c r="AC7" s="117">
        <f t="shared" ref="AC7:AC13" si="5">AB7+1</f>
        <v>2</v>
      </c>
      <c r="AD7" s="117">
        <f t="shared" ref="AD7:AD13" si="6">AB7+2</f>
        <v>3</v>
      </c>
      <c r="AE7" s="1">
        <v>5.7</v>
      </c>
    </row>
    <row r="8" spans="1:32" x14ac:dyDescent="0.2">
      <c r="A8" s="20" t="s">
        <v>22</v>
      </c>
      <c r="B8" s="12"/>
      <c r="C8" s="1"/>
      <c r="D8" s="3"/>
      <c r="E8" s="12"/>
      <c r="F8" s="1"/>
      <c r="G8" s="23"/>
      <c r="H8" s="19"/>
      <c r="I8" s="1"/>
      <c r="J8" s="3"/>
      <c r="K8" s="1">
        <v>2</v>
      </c>
      <c r="L8" s="52" t="s">
        <v>5</v>
      </c>
      <c r="M8" s="1">
        <v>2</v>
      </c>
      <c r="N8" s="12">
        <f t="shared" si="2"/>
        <v>2</v>
      </c>
      <c r="O8" s="1">
        <f t="shared" si="3"/>
        <v>0.25</v>
      </c>
      <c r="P8" s="1">
        <v>500</v>
      </c>
      <c r="Q8" s="71">
        <f t="shared" si="4"/>
        <v>250</v>
      </c>
      <c r="R8" s="123">
        <f t="shared" si="0"/>
        <v>232.815</v>
      </c>
      <c r="S8" s="12">
        <v>25</v>
      </c>
      <c r="T8" s="3">
        <v>18</v>
      </c>
      <c r="U8" s="71">
        <v>22</v>
      </c>
      <c r="V8" s="1">
        <v>88</v>
      </c>
      <c r="W8" s="1">
        <v>98</v>
      </c>
      <c r="X8" s="3">
        <v>108</v>
      </c>
      <c r="Y8" s="159" t="s">
        <v>139</v>
      </c>
      <c r="AA8" s="37" t="s">
        <v>63</v>
      </c>
      <c r="AB8">
        <v>0</v>
      </c>
      <c r="AC8" s="117">
        <f t="shared" si="5"/>
        <v>1</v>
      </c>
      <c r="AD8" s="117">
        <f t="shared" si="6"/>
        <v>2</v>
      </c>
      <c r="AE8" s="1">
        <v>5.7</v>
      </c>
    </row>
    <row r="9" spans="1:32" x14ac:dyDescent="0.2">
      <c r="A9" s="20" t="s">
        <v>14</v>
      </c>
      <c r="B9" s="12">
        <v>2</v>
      </c>
      <c r="C9" s="1" t="s">
        <v>5</v>
      </c>
      <c r="D9" s="3">
        <v>4</v>
      </c>
      <c r="E9" s="12">
        <v>0.25</v>
      </c>
      <c r="F9" s="1" t="s">
        <v>5</v>
      </c>
      <c r="G9" s="23">
        <v>0.5</v>
      </c>
      <c r="H9" s="19">
        <f>E9*2000</f>
        <v>500</v>
      </c>
      <c r="I9" s="1" t="s">
        <v>5</v>
      </c>
      <c r="J9" s="3">
        <f t="shared" si="1"/>
        <v>1000</v>
      </c>
      <c r="K9" s="1">
        <v>3</v>
      </c>
      <c r="L9" s="52" t="s">
        <v>5</v>
      </c>
      <c r="M9" s="1">
        <v>3</v>
      </c>
      <c r="N9" s="12">
        <f t="shared" si="2"/>
        <v>3</v>
      </c>
      <c r="O9" s="1">
        <f t="shared" si="3"/>
        <v>0.375</v>
      </c>
      <c r="P9" s="1">
        <v>750</v>
      </c>
      <c r="Q9" s="71">
        <f t="shared" si="4"/>
        <v>375</v>
      </c>
      <c r="R9" s="123">
        <f t="shared" si="0"/>
        <v>349.22250000000003</v>
      </c>
      <c r="S9" s="12">
        <v>35</v>
      </c>
      <c r="T9" s="3">
        <v>19</v>
      </c>
      <c r="U9" s="71">
        <v>24</v>
      </c>
      <c r="V9" s="1">
        <v>90</v>
      </c>
      <c r="W9" s="1">
        <v>100</v>
      </c>
      <c r="X9" s="3">
        <v>110</v>
      </c>
      <c r="Y9" s="159" t="s">
        <v>139</v>
      </c>
      <c r="AA9" s="37" t="s">
        <v>65</v>
      </c>
      <c r="AB9">
        <v>-1</v>
      </c>
      <c r="AC9" s="117">
        <f t="shared" si="5"/>
        <v>0</v>
      </c>
      <c r="AD9" s="117">
        <f t="shared" si="6"/>
        <v>1</v>
      </c>
      <c r="AE9" s="1">
        <v>5.7</v>
      </c>
    </row>
    <row r="10" spans="1:32" x14ac:dyDescent="0.2">
      <c r="A10" s="20" t="s">
        <v>23</v>
      </c>
      <c r="B10" s="12"/>
      <c r="C10" s="1"/>
      <c r="D10" s="3"/>
      <c r="E10" s="12"/>
      <c r="F10" s="1"/>
      <c r="G10" s="23"/>
      <c r="H10" s="19"/>
      <c r="I10" s="1"/>
      <c r="J10" s="3"/>
      <c r="K10" s="1">
        <v>4</v>
      </c>
      <c r="L10" s="52" t="s">
        <v>5</v>
      </c>
      <c r="M10" s="1">
        <v>4</v>
      </c>
      <c r="N10" s="12">
        <f t="shared" si="2"/>
        <v>4</v>
      </c>
      <c r="O10" s="1">
        <f t="shared" si="3"/>
        <v>0.5</v>
      </c>
      <c r="P10" s="1">
        <v>1000</v>
      </c>
      <c r="Q10" s="71">
        <f t="shared" si="4"/>
        <v>500</v>
      </c>
      <c r="R10" s="123">
        <f t="shared" si="0"/>
        <v>465.63</v>
      </c>
      <c r="S10" s="12">
        <v>50</v>
      </c>
      <c r="T10" s="3">
        <v>20</v>
      </c>
      <c r="U10" s="71">
        <v>26</v>
      </c>
      <c r="V10" s="1">
        <v>92</v>
      </c>
      <c r="W10" s="1">
        <v>102</v>
      </c>
      <c r="X10" s="3">
        <v>112</v>
      </c>
      <c r="Y10" s="159" t="s">
        <v>139</v>
      </c>
      <c r="AA10" s="37" t="s">
        <v>64</v>
      </c>
      <c r="AB10">
        <v>-1</v>
      </c>
      <c r="AC10" s="117">
        <f t="shared" si="5"/>
        <v>0</v>
      </c>
      <c r="AD10" s="117">
        <f t="shared" si="6"/>
        <v>1</v>
      </c>
      <c r="AE10" s="1">
        <v>5.7</v>
      </c>
    </row>
    <row r="11" spans="1:32" x14ac:dyDescent="0.2">
      <c r="A11" s="20" t="s">
        <v>15</v>
      </c>
      <c r="B11" s="12">
        <v>4</v>
      </c>
      <c r="C11" s="1" t="s">
        <v>5</v>
      </c>
      <c r="D11" s="3">
        <v>8</v>
      </c>
      <c r="E11" s="12">
        <v>0.5</v>
      </c>
      <c r="F11" s="1" t="s">
        <v>5</v>
      </c>
      <c r="G11" s="23">
        <v>1</v>
      </c>
      <c r="H11" s="19">
        <f>E11*2000</f>
        <v>1000</v>
      </c>
      <c r="I11" s="1" t="s">
        <v>5</v>
      </c>
      <c r="J11" s="3">
        <f t="shared" si="1"/>
        <v>2000</v>
      </c>
      <c r="K11" s="51">
        <v>5</v>
      </c>
      <c r="L11" s="50" t="s">
        <v>5</v>
      </c>
      <c r="M11" s="51">
        <v>6</v>
      </c>
      <c r="N11" s="12">
        <f t="shared" si="2"/>
        <v>6</v>
      </c>
      <c r="O11" s="1">
        <f>P11/2000</f>
        <v>0.75</v>
      </c>
      <c r="P11" s="1">
        <v>1500</v>
      </c>
      <c r="Q11" s="71">
        <f t="shared" si="4"/>
        <v>750</v>
      </c>
      <c r="R11" s="123">
        <f t="shared" si="0"/>
        <v>698.44500000000005</v>
      </c>
      <c r="S11" s="12">
        <v>75</v>
      </c>
      <c r="T11" s="3">
        <v>21</v>
      </c>
      <c r="U11" s="71">
        <v>28</v>
      </c>
      <c r="V11" s="1">
        <v>95</v>
      </c>
      <c r="W11" s="1">
        <v>105</v>
      </c>
      <c r="X11" s="3">
        <v>115</v>
      </c>
      <c r="Y11" s="162" t="s">
        <v>139</v>
      </c>
      <c r="AA11" s="37" t="s">
        <v>66</v>
      </c>
      <c r="AB11">
        <v>-1</v>
      </c>
      <c r="AC11" s="117">
        <f t="shared" si="5"/>
        <v>0</v>
      </c>
      <c r="AD11" s="117">
        <f t="shared" si="6"/>
        <v>1</v>
      </c>
      <c r="AE11" s="1">
        <v>5.7</v>
      </c>
    </row>
    <row r="12" spans="1:32" x14ac:dyDescent="0.2">
      <c r="A12" s="20" t="s">
        <v>24</v>
      </c>
      <c r="B12" s="12"/>
      <c r="C12" s="1"/>
      <c r="D12" s="3"/>
      <c r="E12" s="12"/>
      <c r="F12" s="1"/>
      <c r="G12" s="23"/>
      <c r="H12" s="19"/>
      <c r="I12" s="1"/>
      <c r="J12" s="3"/>
      <c r="K12" s="51">
        <v>7</v>
      </c>
      <c r="L12" s="51" t="s">
        <v>5</v>
      </c>
      <c r="M12" s="51">
        <v>9</v>
      </c>
      <c r="N12" s="12">
        <f t="shared" si="2"/>
        <v>8</v>
      </c>
      <c r="O12" s="1">
        <f t="shared" ref="O12:O16" si="7">P12/2000</f>
        <v>1</v>
      </c>
      <c r="P12" s="1">
        <v>2000</v>
      </c>
      <c r="Q12" s="71">
        <f t="shared" si="4"/>
        <v>1000</v>
      </c>
      <c r="R12" s="123">
        <f t="shared" si="0"/>
        <v>931.26</v>
      </c>
      <c r="S12" s="12">
        <v>100</v>
      </c>
      <c r="T12" s="3">
        <v>22</v>
      </c>
      <c r="U12" s="71">
        <v>30</v>
      </c>
      <c r="V12" s="1">
        <v>98</v>
      </c>
      <c r="W12" s="1">
        <v>108</v>
      </c>
      <c r="X12" s="3">
        <v>118</v>
      </c>
      <c r="Y12" s="38" t="s">
        <v>140</v>
      </c>
      <c r="AA12" s="37" t="s">
        <v>61</v>
      </c>
      <c r="AB12">
        <v>0</v>
      </c>
      <c r="AC12" s="117">
        <f t="shared" si="5"/>
        <v>1</v>
      </c>
      <c r="AD12" s="117">
        <f t="shared" si="6"/>
        <v>2</v>
      </c>
      <c r="AE12" s="1">
        <v>5.7</v>
      </c>
    </row>
    <row r="13" spans="1:32" x14ac:dyDescent="0.2">
      <c r="A13" s="20" t="s">
        <v>16</v>
      </c>
      <c r="B13" s="12">
        <v>8</v>
      </c>
      <c r="C13" s="1" t="s">
        <v>5</v>
      </c>
      <c r="D13" s="3">
        <v>15</v>
      </c>
      <c r="E13" s="12">
        <v>1</v>
      </c>
      <c r="F13" s="1" t="s">
        <v>5</v>
      </c>
      <c r="G13" s="23">
        <v>2</v>
      </c>
      <c r="H13" s="19">
        <f>E13*2000</f>
        <v>2000</v>
      </c>
      <c r="I13" s="1" t="s">
        <v>5</v>
      </c>
      <c r="J13" s="3">
        <f t="shared" si="1"/>
        <v>4000</v>
      </c>
      <c r="K13" s="51">
        <v>10</v>
      </c>
      <c r="L13" s="51" t="s">
        <v>5</v>
      </c>
      <c r="M13" s="51">
        <v>13</v>
      </c>
      <c r="N13" s="12">
        <f>P13/250</f>
        <v>12</v>
      </c>
      <c r="O13" s="1">
        <f t="shared" si="7"/>
        <v>1.5</v>
      </c>
      <c r="P13" s="1">
        <v>3000</v>
      </c>
      <c r="Q13" s="71">
        <f t="shared" si="4"/>
        <v>1500</v>
      </c>
      <c r="R13" s="123">
        <f t="shared" si="0"/>
        <v>1396.89</v>
      </c>
      <c r="S13" s="12">
        <v>150</v>
      </c>
      <c r="T13" s="3">
        <v>23</v>
      </c>
      <c r="U13" s="71">
        <v>32</v>
      </c>
      <c r="V13" s="1">
        <v>100</v>
      </c>
      <c r="W13" s="1">
        <v>110</v>
      </c>
      <c r="X13" s="3">
        <v>120</v>
      </c>
      <c r="Y13" s="159" t="s">
        <v>140</v>
      </c>
      <c r="AA13" s="37" t="s">
        <v>62</v>
      </c>
      <c r="AB13">
        <v>0</v>
      </c>
      <c r="AC13" s="117">
        <f t="shared" si="5"/>
        <v>1</v>
      </c>
      <c r="AD13" s="117">
        <f t="shared" si="6"/>
        <v>2</v>
      </c>
      <c r="AE13" s="1">
        <v>5.7</v>
      </c>
    </row>
    <row r="14" spans="1:32" x14ac:dyDescent="0.2">
      <c r="A14" s="20" t="s">
        <v>25</v>
      </c>
      <c r="B14" s="12"/>
      <c r="C14" s="1"/>
      <c r="D14" s="3"/>
      <c r="E14" s="12"/>
      <c r="F14" s="1"/>
      <c r="G14" s="23"/>
      <c r="H14" s="19"/>
      <c r="I14" s="1"/>
      <c r="J14" s="3"/>
      <c r="K14" s="52">
        <v>14</v>
      </c>
      <c r="L14" s="52" t="s">
        <v>5</v>
      </c>
      <c r="M14" s="52">
        <v>19</v>
      </c>
      <c r="N14" s="12">
        <f t="shared" ref="N14:N16" si="8">P14/250</f>
        <v>16</v>
      </c>
      <c r="O14" s="1">
        <f t="shared" si="7"/>
        <v>2</v>
      </c>
      <c r="P14" s="1">
        <v>4000</v>
      </c>
      <c r="Q14" s="71">
        <f t="shared" si="4"/>
        <v>2000</v>
      </c>
      <c r="R14" s="123">
        <f t="shared" si="0"/>
        <v>1862.52</v>
      </c>
      <c r="S14" s="12">
        <v>200</v>
      </c>
      <c r="T14" s="3">
        <v>24</v>
      </c>
      <c r="U14" s="71">
        <v>34</v>
      </c>
      <c r="V14" s="1">
        <v>102</v>
      </c>
      <c r="W14" s="1">
        <v>112</v>
      </c>
      <c r="X14" s="3">
        <v>122</v>
      </c>
      <c r="Y14" s="159" t="s">
        <v>140</v>
      </c>
      <c r="AA14" s="37" t="s">
        <v>47</v>
      </c>
      <c r="AB14">
        <v>-2</v>
      </c>
      <c r="AC14">
        <v>1</v>
      </c>
      <c r="AD14">
        <v>2</v>
      </c>
      <c r="AE14" s="1">
        <v>5.6</v>
      </c>
    </row>
    <row r="15" spans="1:32" x14ac:dyDescent="0.2">
      <c r="A15" s="43" t="s">
        <v>17</v>
      </c>
      <c r="B15" s="44">
        <v>15</v>
      </c>
      <c r="C15" s="45" t="s">
        <v>5</v>
      </c>
      <c r="D15" s="46">
        <v>30</v>
      </c>
      <c r="E15" s="44">
        <v>2</v>
      </c>
      <c r="F15" s="45" t="s">
        <v>5</v>
      </c>
      <c r="G15" s="47">
        <v>4</v>
      </c>
      <c r="H15" s="48">
        <f>E15*2000</f>
        <v>4000</v>
      </c>
      <c r="I15" s="45" t="s">
        <v>5</v>
      </c>
      <c r="J15" s="46">
        <f t="shared" si="1"/>
        <v>8000</v>
      </c>
      <c r="K15" s="53">
        <v>20</v>
      </c>
      <c r="L15" s="53" t="s">
        <v>5</v>
      </c>
      <c r="M15" s="53">
        <v>27</v>
      </c>
      <c r="N15" s="44">
        <f t="shared" si="8"/>
        <v>24</v>
      </c>
      <c r="O15" s="45">
        <f t="shared" si="7"/>
        <v>3</v>
      </c>
      <c r="P15" s="45">
        <v>6000</v>
      </c>
      <c r="Q15" s="72">
        <f t="shared" si="4"/>
        <v>3000</v>
      </c>
      <c r="R15" s="124">
        <f t="shared" si="0"/>
        <v>2793.78</v>
      </c>
      <c r="S15" s="44">
        <v>250</v>
      </c>
      <c r="T15" s="46">
        <v>26</v>
      </c>
      <c r="U15" s="72">
        <v>36</v>
      </c>
      <c r="V15" s="45">
        <v>105</v>
      </c>
      <c r="W15" s="45">
        <v>115</v>
      </c>
      <c r="X15" s="46">
        <v>125</v>
      </c>
      <c r="Y15" s="159" t="s">
        <v>140</v>
      </c>
      <c r="AA15" s="37" t="s">
        <v>48</v>
      </c>
      <c r="AB15">
        <v>-2</v>
      </c>
      <c r="AC15">
        <v>1</v>
      </c>
      <c r="AD15">
        <v>2</v>
      </c>
      <c r="AE15" s="1">
        <v>5.6</v>
      </c>
    </row>
    <row r="16" spans="1:32" x14ac:dyDescent="0.2">
      <c r="A16" s="43" t="s">
        <v>26</v>
      </c>
      <c r="B16" s="44"/>
      <c r="C16" s="45"/>
      <c r="D16" s="46"/>
      <c r="E16" s="44"/>
      <c r="F16" s="45"/>
      <c r="G16" s="47"/>
      <c r="H16" s="48"/>
      <c r="I16" s="45"/>
      <c r="J16" s="46"/>
      <c r="K16" s="53">
        <v>28</v>
      </c>
      <c r="L16" s="53" t="s">
        <v>5</v>
      </c>
      <c r="M16" s="53">
        <v>35</v>
      </c>
      <c r="N16" s="44">
        <f t="shared" si="8"/>
        <v>32</v>
      </c>
      <c r="O16" s="45">
        <f t="shared" si="7"/>
        <v>4</v>
      </c>
      <c r="P16" s="45">
        <v>8000</v>
      </c>
      <c r="Q16" s="72">
        <f>N16*125</f>
        <v>4000</v>
      </c>
      <c r="R16" s="124">
        <f t="shared" si="0"/>
        <v>3725.04</v>
      </c>
      <c r="S16" s="44">
        <v>300</v>
      </c>
      <c r="T16" s="46">
        <v>28</v>
      </c>
      <c r="U16" s="72">
        <v>37</v>
      </c>
      <c r="V16" s="45">
        <v>108</v>
      </c>
      <c r="W16" s="45">
        <v>118</v>
      </c>
      <c r="X16" s="46">
        <v>128</v>
      </c>
      <c r="Y16" s="159" t="s">
        <v>140</v>
      </c>
      <c r="AA16" s="37" t="s">
        <v>49</v>
      </c>
      <c r="AB16" s="117">
        <f>AD16-2</f>
        <v>-2</v>
      </c>
      <c r="AC16">
        <v>0</v>
      </c>
      <c r="AD16">
        <v>0</v>
      </c>
      <c r="AE16" s="1">
        <v>5.6</v>
      </c>
    </row>
    <row r="17" spans="1:32" x14ac:dyDescent="0.2">
      <c r="A17" s="43" t="s">
        <v>18</v>
      </c>
      <c r="B17" s="44"/>
      <c r="C17" s="45" t="s">
        <v>10</v>
      </c>
      <c r="D17" s="46">
        <v>30</v>
      </c>
      <c r="E17" s="44"/>
      <c r="F17" s="45" t="s">
        <v>10</v>
      </c>
      <c r="G17" s="47">
        <v>4</v>
      </c>
      <c r="H17" s="48"/>
      <c r="I17" s="45" t="s">
        <v>10</v>
      </c>
      <c r="J17" s="46">
        <f t="shared" si="1"/>
        <v>8000</v>
      </c>
      <c r="K17" s="53">
        <v>36</v>
      </c>
      <c r="L17" s="53" t="s">
        <v>5</v>
      </c>
      <c r="M17" s="53">
        <v>43</v>
      </c>
      <c r="N17" s="44">
        <v>40</v>
      </c>
      <c r="O17" s="45">
        <v>5</v>
      </c>
      <c r="P17" s="45">
        <f>Q17*2</f>
        <v>10000</v>
      </c>
      <c r="Q17" s="72">
        <f t="shared" ref="Q17:Q18" si="9">N17*125</f>
        <v>5000</v>
      </c>
      <c r="R17" s="124">
        <f t="shared" si="0"/>
        <v>4656.3</v>
      </c>
      <c r="S17" s="44">
        <v>350</v>
      </c>
      <c r="T17" s="46">
        <v>30</v>
      </c>
      <c r="U17" s="72">
        <v>38</v>
      </c>
      <c r="V17" s="45">
        <v>110</v>
      </c>
      <c r="W17" s="45">
        <v>120</v>
      </c>
      <c r="X17" s="46">
        <v>130</v>
      </c>
      <c r="Y17" s="159" t="s">
        <v>140</v>
      </c>
      <c r="AA17" s="37" t="s">
        <v>50</v>
      </c>
      <c r="AB17" s="117">
        <f t="shared" ref="AB17:AB20" si="10">AD17-2</f>
        <v>-2</v>
      </c>
      <c r="AC17">
        <v>0</v>
      </c>
      <c r="AD17">
        <v>0</v>
      </c>
      <c r="AE17" s="1">
        <v>5.5</v>
      </c>
    </row>
    <row r="18" spans="1:32" x14ac:dyDescent="0.2">
      <c r="A18" s="20" t="s">
        <v>36</v>
      </c>
      <c r="B18" s="12"/>
      <c r="C18" s="1"/>
      <c r="D18" s="3"/>
      <c r="E18" s="12"/>
      <c r="F18" s="1"/>
      <c r="G18" s="23"/>
      <c r="H18" s="19"/>
      <c r="I18" s="1"/>
      <c r="J18" s="3"/>
      <c r="K18" s="52">
        <v>44</v>
      </c>
      <c r="L18" s="52" t="s">
        <v>5</v>
      </c>
      <c r="M18" s="52">
        <v>51</v>
      </c>
      <c r="N18" s="12">
        <v>48</v>
      </c>
      <c r="O18" s="1">
        <v>6</v>
      </c>
      <c r="P18" s="1">
        <v>12000</v>
      </c>
      <c r="Q18" s="71">
        <f t="shared" si="9"/>
        <v>6000</v>
      </c>
      <c r="R18" s="123">
        <f t="shared" si="0"/>
        <v>5587.56</v>
      </c>
      <c r="S18" s="12">
        <v>400</v>
      </c>
      <c r="T18" s="3">
        <v>32</v>
      </c>
      <c r="U18" s="71">
        <v>39</v>
      </c>
      <c r="V18" s="1">
        <v>115</v>
      </c>
      <c r="W18" s="1">
        <v>125</v>
      </c>
      <c r="X18" s="3">
        <v>135</v>
      </c>
      <c r="Y18" s="159" t="s">
        <v>140</v>
      </c>
      <c r="AA18" s="37" t="s">
        <v>51</v>
      </c>
      <c r="AB18" s="117">
        <f t="shared" si="10"/>
        <v>-2</v>
      </c>
      <c r="AC18">
        <v>0</v>
      </c>
      <c r="AD18">
        <v>0</v>
      </c>
      <c r="AE18" s="1">
        <v>5.4</v>
      </c>
    </row>
    <row r="19" spans="1:32" ht="13.5" thickBot="1" x14ac:dyDescent="0.25">
      <c r="A19" s="21" t="s">
        <v>35</v>
      </c>
      <c r="B19" s="13"/>
      <c r="C19" s="39" t="s">
        <v>10</v>
      </c>
      <c r="D19" s="5">
        <v>50</v>
      </c>
      <c r="E19" s="13"/>
      <c r="F19" s="4"/>
      <c r="G19" s="24"/>
      <c r="H19" s="25"/>
      <c r="I19" s="4"/>
      <c r="J19" s="5"/>
      <c r="K19" s="39">
        <v>52</v>
      </c>
      <c r="L19" s="39" t="s">
        <v>54</v>
      </c>
      <c r="M19" s="39"/>
      <c r="N19" s="13">
        <f>Q19/125</f>
        <v>56</v>
      </c>
      <c r="O19" s="4">
        <v>7</v>
      </c>
      <c r="P19" s="4">
        <v>14000</v>
      </c>
      <c r="Q19" s="67">
        <v>7000</v>
      </c>
      <c r="R19" s="125">
        <f t="shared" si="0"/>
        <v>6518.82</v>
      </c>
      <c r="S19" s="13">
        <v>450</v>
      </c>
      <c r="T19" s="5">
        <v>34</v>
      </c>
      <c r="U19" s="67">
        <v>40</v>
      </c>
      <c r="V19" s="4">
        <v>120</v>
      </c>
      <c r="W19" s="4">
        <v>130</v>
      </c>
      <c r="X19" s="5">
        <v>140</v>
      </c>
      <c r="Y19" s="161" t="s">
        <v>140</v>
      </c>
      <c r="AA19" s="37" t="s">
        <v>52</v>
      </c>
      <c r="AB19" s="117">
        <f t="shared" si="10"/>
        <v>-4</v>
      </c>
      <c r="AC19">
        <v>-1</v>
      </c>
      <c r="AD19">
        <v>-2</v>
      </c>
      <c r="AE19" s="1">
        <v>5.3</v>
      </c>
    </row>
    <row r="20" spans="1:32" ht="13.5" thickBot="1" x14ac:dyDescent="0.25">
      <c r="AA20" s="37" t="s">
        <v>53</v>
      </c>
      <c r="AB20" s="117">
        <f t="shared" si="10"/>
        <v>-4</v>
      </c>
      <c r="AC20">
        <v>-1</v>
      </c>
      <c r="AD20">
        <v>-2</v>
      </c>
      <c r="AE20" s="1">
        <v>5</v>
      </c>
    </row>
    <row r="21" spans="1:32" ht="13.5" thickBot="1" x14ac:dyDescent="0.25">
      <c r="A21" s="7" t="s">
        <v>20</v>
      </c>
      <c r="K21" s="1"/>
      <c r="L21" s="1"/>
      <c r="M21" s="1"/>
      <c r="N21" s="54" t="s">
        <v>44</v>
      </c>
      <c r="O21" s="55"/>
      <c r="P21" s="56"/>
      <c r="Q21" s="75" t="s">
        <v>56</v>
      </c>
      <c r="R21" s="75" t="s">
        <v>56</v>
      </c>
      <c r="S21" s="274" t="s">
        <v>55</v>
      </c>
      <c r="T21" s="275"/>
      <c r="U21" s="75" t="s">
        <v>57</v>
      </c>
      <c r="V21" s="73"/>
      <c r="W21" s="14" t="s">
        <v>58</v>
      </c>
      <c r="X21" s="56"/>
    </row>
    <row r="22" spans="1:32" ht="15" x14ac:dyDescent="0.25">
      <c r="A22" s="76"/>
      <c r="B22" s="41"/>
      <c r="C22" s="10"/>
      <c r="D22" s="11"/>
      <c r="E22" s="94" t="s">
        <v>21</v>
      </c>
      <c r="F22" s="95"/>
      <c r="G22" s="96"/>
      <c r="H22" s="97"/>
      <c r="I22" s="95"/>
      <c r="J22" s="98"/>
      <c r="K22" s="58"/>
      <c r="L22" s="10" t="s">
        <v>43</v>
      </c>
      <c r="M22" s="11"/>
      <c r="N22" s="33" t="s">
        <v>27</v>
      </c>
      <c r="O22" s="86" t="s">
        <v>38</v>
      </c>
      <c r="P22" s="87" t="s">
        <v>38</v>
      </c>
      <c r="Q22" s="69" t="s">
        <v>30</v>
      </c>
      <c r="R22" s="69" t="s">
        <v>30</v>
      </c>
      <c r="S22" s="33" t="s">
        <v>28</v>
      </c>
      <c r="T22" s="42" t="s">
        <v>29</v>
      </c>
      <c r="U22" s="74" t="s">
        <v>37</v>
      </c>
      <c r="V22" s="78" t="s">
        <v>32</v>
      </c>
      <c r="W22" s="40" t="s">
        <v>33</v>
      </c>
      <c r="X22" s="42" t="s">
        <v>34</v>
      </c>
      <c r="AA22" s="272" t="s">
        <v>68</v>
      </c>
      <c r="AB22" s="272"/>
      <c r="AC22" s="272" t="s">
        <v>67</v>
      </c>
      <c r="AD22" s="272"/>
      <c r="AF22" s="40" t="s">
        <v>37</v>
      </c>
    </row>
    <row r="23" spans="1:32" ht="18" x14ac:dyDescent="0.35">
      <c r="A23" s="77" t="s">
        <v>0</v>
      </c>
      <c r="B23" s="62"/>
      <c r="C23" s="60" t="s">
        <v>1</v>
      </c>
      <c r="D23" s="61"/>
      <c r="E23" s="99"/>
      <c r="F23" s="86" t="s">
        <v>2</v>
      </c>
      <c r="G23" s="100"/>
      <c r="H23" s="101"/>
      <c r="I23" s="86" t="s">
        <v>3</v>
      </c>
      <c r="J23" s="87"/>
      <c r="K23" s="59"/>
      <c r="L23" s="60" t="s">
        <v>42</v>
      </c>
      <c r="M23" s="61"/>
      <c r="N23" s="62" t="s">
        <v>42</v>
      </c>
      <c r="O23" s="88" t="s">
        <v>2</v>
      </c>
      <c r="P23" s="89" t="s">
        <v>3</v>
      </c>
      <c r="Q23" s="66" t="s">
        <v>3</v>
      </c>
      <c r="R23" s="66" t="s">
        <v>3</v>
      </c>
      <c r="S23" s="62" t="s">
        <v>3</v>
      </c>
      <c r="T23" s="64" t="s">
        <v>39</v>
      </c>
      <c r="U23" s="68" t="s">
        <v>39</v>
      </c>
      <c r="V23" s="79" t="s">
        <v>40</v>
      </c>
      <c r="W23" s="63" t="s">
        <v>40</v>
      </c>
      <c r="X23" s="64" t="s">
        <v>40</v>
      </c>
      <c r="AA23" s="166" t="s">
        <v>100</v>
      </c>
      <c r="AB23" s="121" t="s">
        <v>29</v>
      </c>
      <c r="AC23" s="166" t="s">
        <v>101</v>
      </c>
      <c r="AD23" s="121" t="s">
        <v>29</v>
      </c>
      <c r="AE23" s="166" t="s">
        <v>101</v>
      </c>
      <c r="AF23" s="40" t="s">
        <v>39</v>
      </c>
    </row>
    <row r="24" spans="1:32" x14ac:dyDescent="0.2">
      <c r="A24" s="82" t="s">
        <v>73</v>
      </c>
      <c r="B24" s="15"/>
      <c r="C24" s="16"/>
      <c r="D24" s="17"/>
      <c r="E24" s="102"/>
      <c r="F24" s="103"/>
      <c r="G24" s="104"/>
      <c r="H24" s="105"/>
      <c r="I24" s="103"/>
      <c r="J24" s="106"/>
      <c r="K24" s="12">
        <v>0</v>
      </c>
      <c r="L24" s="52" t="s">
        <v>5</v>
      </c>
      <c r="M24" s="3"/>
      <c r="N24" s="12">
        <v>0</v>
      </c>
      <c r="O24" s="90">
        <v>0</v>
      </c>
      <c r="P24" s="91">
        <v>0</v>
      </c>
      <c r="Q24" s="71">
        <v>0</v>
      </c>
      <c r="R24" s="71">
        <v>0</v>
      </c>
      <c r="S24" s="12">
        <v>0</v>
      </c>
      <c r="T24" s="3">
        <v>26</v>
      </c>
      <c r="U24" s="71">
        <f>T24</f>
        <v>26</v>
      </c>
      <c r="V24" s="12">
        <f t="shared" ref="V24" si="11">X24-20</f>
        <v>90</v>
      </c>
      <c r="W24" s="1">
        <f t="shared" ref="W24" si="12">X24-10</f>
        <v>100</v>
      </c>
      <c r="X24" s="3">
        <v>110</v>
      </c>
      <c r="AA24" s="1">
        <v>0</v>
      </c>
      <c r="AB24" s="1">
        <v>26</v>
      </c>
      <c r="AC24" s="1">
        <v>0</v>
      </c>
      <c r="AD24" s="1">
        <v>12</v>
      </c>
      <c r="AE24" s="1">
        <v>0</v>
      </c>
      <c r="AF24" s="1">
        <v>12</v>
      </c>
    </row>
    <row r="25" spans="1:32" x14ac:dyDescent="0.2">
      <c r="A25" s="2" t="s">
        <v>4</v>
      </c>
      <c r="B25" s="12">
        <v>0</v>
      </c>
      <c r="C25" s="1" t="s">
        <v>5</v>
      </c>
      <c r="D25" s="3">
        <v>4</v>
      </c>
      <c r="E25" s="107">
        <v>0</v>
      </c>
      <c r="F25" s="108" t="s">
        <v>5</v>
      </c>
      <c r="G25" s="109">
        <v>0.5</v>
      </c>
      <c r="H25" s="110">
        <f>E25*2000</f>
        <v>0</v>
      </c>
      <c r="I25" s="108" t="s">
        <v>5</v>
      </c>
      <c r="J25" s="111">
        <f>G25*2000</f>
        <v>1000</v>
      </c>
      <c r="K25" s="80">
        <v>1</v>
      </c>
      <c r="L25" s="52" t="s">
        <v>5</v>
      </c>
      <c r="M25" s="3">
        <v>2</v>
      </c>
      <c r="N25" s="12">
        <v>2</v>
      </c>
      <c r="O25" s="90">
        <f>P25/2000</f>
        <v>0.25</v>
      </c>
      <c r="P25" s="91">
        <v>500</v>
      </c>
      <c r="Q25" s="71">
        <v>0</v>
      </c>
      <c r="R25" s="71">
        <v>0</v>
      </c>
      <c r="S25" s="12">
        <v>0</v>
      </c>
      <c r="T25" s="3">
        <v>27</v>
      </c>
      <c r="U25" s="71">
        <f t="shared" ref="U25:U34" si="13">T25</f>
        <v>27</v>
      </c>
      <c r="V25" s="12">
        <f>X25-20</f>
        <v>95</v>
      </c>
      <c r="W25" s="1">
        <f>X25-10</f>
        <v>105</v>
      </c>
      <c r="X25" s="3">
        <v>115</v>
      </c>
      <c r="AA25" s="1">
        <v>1</v>
      </c>
      <c r="AB25" s="1">
        <v>27</v>
      </c>
      <c r="AC25" s="1">
        <v>0.25</v>
      </c>
      <c r="AD25" s="1">
        <v>13</v>
      </c>
      <c r="AE25" s="1">
        <v>0.16</v>
      </c>
      <c r="AF25" s="1">
        <v>13</v>
      </c>
    </row>
    <row r="26" spans="1:32" x14ac:dyDescent="0.2">
      <c r="A26" s="81" t="s">
        <v>69</v>
      </c>
      <c r="B26" s="12"/>
      <c r="C26" s="1"/>
      <c r="D26" s="3"/>
      <c r="E26" s="107"/>
      <c r="F26" s="108"/>
      <c r="G26" s="109"/>
      <c r="H26" s="110"/>
      <c r="I26" s="108"/>
      <c r="J26" s="111"/>
      <c r="K26" s="12">
        <v>3</v>
      </c>
      <c r="L26" s="52" t="s">
        <v>5</v>
      </c>
      <c r="M26" s="3">
        <v>5</v>
      </c>
      <c r="N26" s="12">
        <v>4</v>
      </c>
      <c r="O26" s="90">
        <v>0.5</v>
      </c>
      <c r="P26" s="91">
        <v>1000</v>
      </c>
      <c r="Q26" s="71">
        <v>0</v>
      </c>
      <c r="R26" s="71">
        <v>0</v>
      </c>
      <c r="S26" s="12">
        <v>0</v>
      </c>
      <c r="T26" s="3">
        <v>28</v>
      </c>
      <c r="U26" s="71">
        <f t="shared" si="13"/>
        <v>28</v>
      </c>
      <c r="V26" s="12">
        <f t="shared" ref="V26:V34" si="14">X26-20</f>
        <v>98</v>
      </c>
      <c r="W26" s="1">
        <f t="shared" ref="W26:W34" si="15">X26-10</f>
        <v>108</v>
      </c>
      <c r="X26" s="3">
        <v>118</v>
      </c>
      <c r="AA26" s="1">
        <v>3</v>
      </c>
      <c r="AB26" s="1">
        <v>28</v>
      </c>
      <c r="AC26" s="1">
        <v>0.5</v>
      </c>
      <c r="AD26" s="1">
        <v>14</v>
      </c>
      <c r="AE26" s="1">
        <v>0.32</v>
      </c>
      <c r="AF26" s="1">
        <v>14</v>
      </c>
    </row>
    <row r="27" spans="1:32" x14ac:dyDescent="0.2">
      <c r="A27" s="2" t="s">
        <v>6</v>
      </c>
      <c r="B27" s="12">
        <v>4</v>
      </c>
      <c r="C27" s="1" t="s">
        <v>5</v>
      </c>
      <c r="D27" s="3">
        <v>10</v>
      </c>
      <c r="E27" s="107">
        <v>0.5</v>
      </c>
      <c r="F27" s="108" t="s">
        <v>5</v>
      </c>
      <c r="G27" s="109">
        <v>1.25</v>
      </c>
      <c r="H27" s="110">
        <f>E27*2000</f>
        <v>1000</v>
      </c>
      <c r="I27" s="108" t="s">
        <v>5</v>
      </c>
      <c r="J27" s="111">
        <f>G27*2000</f>
        <v>2500</v>
      </c>
      <c r="K27" s="12">
        <v>6</v>
      </c>
      <c r="L27" s="52" t="s">
        <v>5</v>
      </c>
      <c r="M27" s="3">
        <v>8</v>
      </c>
      <c r="N27" s="12">
        <v>7</v>
      </c>
      <c r="O27" s="90">
        <f>P27/2000</f>
        <v>0.875</v>
      </c>
      <c r="P27" s="91">
        <f>AVERAGE(P26,P28)</f>
        <v>1750</v>
      </c>
      <c r="Q27" s="71">
        <v>0</v>
      </c>
      <c r="R27" s="71">
        <v>0</v>
      </c>
      <c r="S27" s="12">
        <v>0</v>
      </c>
      <c r="T27" s="3">
        <v>29</v>
      </c>
      <c r="U27" s="71">
        <f t="shared" si="13"/>
        <v>29</v>
      </c>
      <c r="V27" s="12">
        <f t="shared" si="14"/>
        <v>100</v>
      </c>
      <c r="W27" s="1">
        <f t="shared" si="15"/>
        <v>110</v>
      </c>
      <c r="X27" s="3">
        <v>120</v>
      </c>
      <c r="AA27" s="1">
        <v>6</v>
      </c>
      <c r="AB27" s="1">
        <v>29</v>
      </c>
      <c r="AC27" s="1">
        <v>0.75</v>
      </c>
      <c r="AD27" s="1">
        <v>15</v>
      </c>
      <c r="AE27" s="1">
        <v>0.48</v>
      </c>
      <c r="AF27" s="1">
        <v>15</v>
      </c>
    </row>
    <row r="28" spans="1:32" x14ac:dyDescent="0.2">
      <c r="A28" s="81" t="s">
        <v>70</v>
      </c>
      <c r="B28" s="12"/>
      <c r="C28" s="1"/>
      <c r="D28" s="3"/>
      <c r="E28" s="107"/>
      <c r="F28" s="108"/>
      <c r="G28" s="109"/>
      <c r="H28" s="110"/>
      <c r="I28" s="108"/>
      <c r="J28" s="111"/>
      <c r="K28" s="12">
        <v>9</v>
      </c>
      <c r="L28" s="52" t="s">
        <v>5</v>
      </c>
      <c r="M28" s="3">
        <v>14</v>
      </c>
      <c r="N28" s="12">
        <v>10</v>
      </c>
      <c r="O28" s="90">
        <v>1.25</v>
      </c>
      <c r="P28" s="91">
        <v>2500</v>
      </c>
      <c r="Q28" s="71">
        <v>0</v>
      </c>
      <c r="R28" s="71">
        <v>0</v>
      </c>
      <c r="S28" s="12">
        <v>0</v>
      </c>
      <c r="T28" s="3">
        <v>30</v>
      </c>
      <c r="U28" s="71">
        <f t="shared" si="13"/>
        <v>30</v>
      </c>
      <c r="V28" s="12">
        <f t="shared" si="14"/>
        <v>102</v>
      </c>
      <c r="W28" s="1">
        <f t="shared" si="15"/>
        <v>112</v>
      </c>
      <c r="X28" s="3">
        <v>122</v>
      </c>
      <c r="AA28" s="1">
        <v>9</v>
      </c>
      <c r="AB28" s="1">
        <v>30</v>
      </c>
      <c r="AC28" s="1">
        <v>1</v>
      </c>
      <c r="AD28" s="1">
        <v>16</v>
      </c>
      <c r="AE28" s="1">
        <f>AE25*4</f>
        <v>0.64</v>
      </c>
      <c r="AF28" s="1">
        <v>16</v>
      </c>
    </row>
    <row r="29" spans="1:32" x14ac:dyDescent="0.2">
      <c r="A29" s="2" t="s">
        <v>7</v>
      </c>
      <c r="B29" s="12">
        <v>10</v>
      </c>
      <c r="C29" s="1" t="s">
        <v>5</v>
      </c>
      <c r="D29" s="3">
        <v>30</v>
      </c>
      <c r="E29" s="107">
        <v>1.25</v>
      </c>
      <c r="F29" s="108" t="s">
        <v>5</v>
      </c>
      <c r="G29" s="109">
        <v>2.5</v>
      </c>
      <c r="H29" s="110">
        <f>E29*2000</f>
        <v>2500</v>
      </c>
      <c r="I29" s="108" t="s">
        <v>5</v>
      </c>
      <c r="J29" s="111">
        <f>G29*2000</f>
        <v>5000</v>
      </c>
      <c r="K29" s="12">
        <v>15</v>
      </c>
      <c r="L29" s="52" t="s">
        <v>5</v>
      </c>
      <c r="M29" s="3">
        <v>24</v>
      </c>
      <c r="N29" s="12">
        <v>20</v>
      </c>
      <c r="O29" s="90">
        <f>P29/2000</f>
        <v>1.875</v>
      </c>
      <c r="P29" s="91">
        <f>AVERAGE(P28,P30)</f>
        <v>3750</v>
      </c>
      <c r="Q29" s="71">
        <v>0</v>
      </c>
      <c r="R29" s="71">
        <v>0</v>
      </c>
      <c r="S29" s="12">
        <v>0</v>
      </c>
      <c r="T29" s="3">
        <v>32</v>
      </c>
      <c r="U29" s="71">
        <f t="shared" si="13"/>
        <v>32</v>
      </c>
      <c r="V29" s="12">
        <f t="shared" si="14"/>
        <v>105</v>
      </c>
      <c r="W29" s="1">
        <f t="shared" si="15"/>
        <v>115</v>
      </c>
      <c r="X29" s="3">
        <v>125</v>
      </c>
      <c r="AA29" s="1">
        <v>12</v>
      </c>
      <c r="AB29" s="1">
        <v>31</v>
      </c>
      <c r="AC29" s="1">
        <v>1.4</v>
      </c>
      <c r="AD29" s="1">
        <v>17</v>
      </c>
      <c r="AE29" s="1">
        <v>0.8</v>
      </c>
      <c r="AF29" s="1">
        <v>17</v>
      </c>
    </row>
    <row r="30" spans="1:32" x14ac:dyDescent="0.2">
      <c r="A30" s="81" t="s">
        <v>71</v>
      </c>
      <c r="B30" s="12"/>
      <c r="C30" s="1"/>
      <c r="D30" s="3"/>
      <c r="E30" s="107"/>
      <c r="F30" s="108"/>
      <c r="G30" s="109"/>
      <c r="H30" s="110"/>
      <c r="I30" s="108"/>
      <c r="J30" s="111"/>
      <c r="K30" s="12">
        <v>25</v>
      </c>
      <c r="L30" s="52" t="s">
        <v>5</v>
      </c>
      <c r="M30" s="3">
        <v>34</v>
      </c>
      <c r="N30" s="12">
        <v>30</v>
      </c>
      <c r="O30" s="90">
        <v>2.5</v>
      </c>
      <c r="P30" s="91">
        <v>5000</v>
      </c>
      <c r="Q30" s="71">
        <v>0</v>
      </c>
      <c r="R30" s="71">
        <v>0</v>
      </c>
      <c r="S30" s="12">
        <v>0</v>
      </c>
      <c r="T30" s="3">
        <v>34</v>
      </c>
      <c r="U30" s="71">
        <f t="shared" si="13"/>
        <v>34</v>
      </c>
      <c r="V30" s="12">
        <f t="shared" si="14"/>
        <v>108</v>
      </c>
      <c r="W30" s="1">
        <f t="shared" si="15"/>
        <v>118</v>
      </c>
      <c r="X30" s="3">
        <v>128</v>
      </c>
      <c r="AA30" s="1">
        <v>15</v>
      </c>
      <c r="AB30" s="1">
        <v>32</v>
      </c>
      <c r="AC30" s="1">
        <v>2</v>
      </c>
      <c r="AD30" s="1">
        <v>18</v>
      </c>
      <c r="AE30" s="1">
        <v>1</v>
      </c>
      <c r="AF30" s="1">
        <v>18</v>
      </c>
    </row>
    <row r="31" spans="1:32" x14ac:dyDescent="0.2">
      <c r="A31" s="84" t="s">
        <v>8</v>
      </c>
      <c r="B31" s="44">
        <v>30</v>
      </c>
      <c r="C31" s="45" t="s">
        <v>5</v>
      </c>
      <c r="D31" s="46">
        <v>50</v>
      </c>
      <c r="E31" s="107">
        <v>2.5</v>
      </c>
      <c r="F31" s="108" t="s">
        <v>5</v>
      </c>
      <c r="G31" s="109">
        <v>3.25</v>
      </c>
      <c r="H31" s="110">
        <f>E31*2000</f>
        <v>5000</v>
      </c>
      <c r="I31" s="108" t="s">
        <v>5</v>
      </c>
      <c r="J31" s="111">
        <f>G31*2000</f>
        <v>6500</v>
      </c>
      <c r="K31" s="44">
        <v>35</v>
      </c>
      <c r="L31" s="53" t="s">
        <v>5</v>
      </c>
      <c r="M31" s="46">
        <v>44</v>
      </c>
      <c r="N31" s="44">
        <v>40</v>
      </c>
      <c r="O31" s="90">
        <f>P31/2000</f>
        <v>2.875</v>
      </c>
      <c r="P31" s="91">
        <f>AVERAGE(P30,P32)</f>
        <v>5750</v>
      </c>
      <c r="Q31" s="72">
        <v>0</v>
      </c>
      <c r="R31" s="72">
        <v>0</v>
      </c>
      <c r="S31" s="44">
        <v>0</v>
      </c>
      <c r="T31" s="46">
        <v>36</v>
      </c>
      <c r="U31" s="72">
        <f t="shared" si="13"/>
        <v>36</v>
      </c>
      <c r="V31" s="44">
        <f t="shared" si="14"/>
        <v>110</v>
      </c>
      <c r="W31" s="45">
        <f t="shared" si="15"/>
        <v>120</v>
      </c>
      <c r="X31" s="46">
        <v>130</v>
      </c>
      <c r="Y31" s="37" t="s">
        <v>41</v>
      </c>
      <c r="AA31" s="1">
        <v>20</v>
      </c>
      <c r="AB31" s="1">
        <v>33</v>
      </c>
      <c r="AC31" s="1">
        <v>3</v>
      </c>
      <c r="AD31" s="1">
        <v>19</v>
      </c>
      <c r="AE31" s="1">
        <v>1.25</v>
      </c>
      <c r="AF31" s="1">
        <v>19</v>
      </c>
    </row>
    <row r="32" spans="1:32" x14ac:dyDescent="0.2">
      <c r="A32" s="85" t="s">
        <v>72</v>
      </c>
      <c r="B32" s="44"/>
      <c r="C32" s="45"/>
      <c r="D32" s="46"/>
      <c r="E32" s="107"/>
      <c r="F32" s="108"/>
      <c r="G32" s="109"/>
      <c r="H32" s="110"/>
      <c r="I32" s="108"/>
      <c r="J32" s="111"/>
      <c r="K32" s="44">
        <v>45</v>
      </c>
      <c r="L32" s="53" t="s">
        <v>5</v>
      </c>
      <c r="M32" s="46">
        <v>54</v>
      </c>
      <c r="N32" s="44">
        <v>50</v>
      </c>
      <c r="O32" s="90">
        <v>3.25</v>
      </c>
      <c r="P32" s="91">
        <v>6500</v>
      </c>
      <c r="Q32" s="72">
        <v>0</v>
      </c>
      <c r="R32" s="72">
        <v>0</v>
      </c>
      <c r="S32" s="44">
        <v>0</v>
      </c>
      <c r="T32" s="46">
        <v>38</v>
      </c>
      <c r="U32" s="72">
        <f t="shared" si="13"/>
        <v>38</v>
      </c>
      <c r="V32" s="44">
        <f t="shared" si="14"/>
        <v>112</v>
      </c>
      <c r="W32" s="45">
        <f t="shared" si="15"/>
        <v>122</v>
      </c>
      <c r="X32" s="46">
        <v>132</v>
      </c>
      <c r="Y32" s="37" t="s">
        <v>41</v>
      </c>
      <c r="AA32" s="1">
        <v>25</v>
      </c>
      <c r="AB32" s="1">
        <v>34</v>
      </c>
      <c r="AC32" s="1">
        <v>4</v>
      </c>
      <c r="AD32" s="1">
        <v>20</v>
      </c>
      <c r="AE32" s="1">
        <v>1.45</v>
      </c>
      <c r="AF32" s="1">
        <v>20</v>
      </c>
    </row>
    <row r="33" spans="1:32" x14ac:dyDescent="0.2">
      <c r="A33" s="2" t="s">
        <v>9</v>
      </c>
      <c r="B33" s="12"/>
      <c r="C33" s="1" t="s">
        <v>10</v>
      </c>
      <c r="D33" s="3">
        <v>50</v>
      </c>
      <c r="E33" s="107">
        <v>3.25</v>
      </c>
      <c r="F33" s="108" t="s">
        <v>5</v>
      </c>
      <c r="G33" s="109">
        <v>4</v>
      </c>
      <c r="H33" s="110">
        <f>E33*2000</f>
        <v>6500</v>
      </c>
      <c r="I33" s="108" t="s">
        <v>5</v>
      </c>
      <c r="J33" s="111">
        <f>G33*2000</f>
        <v>8000</v>
      </c>
      <c r="K33" s="12">
        <v>55</v>
      </c>
      <c r="L33" s="52" t="s">
        <v>5</v>
      </c>
      <c r="M33" s="3">
        <v>64</v>
      </c>
      <c r="N33" s="12">
        <v>60</v>
      </c>
      <c r="O33" s="90">
        <f>P33/2000</f>
        <v>3.625</v>
      </c>
      <c r="P33" s="91">
        <f>AVERAGE(P32,P34)</f>
        <v>7250</v>
      </c>
      <c r="Q33" s="71">
        <v>0</v>
      </c>
      <c r="R33" s="71">
        <v>0</v>
      </c>
      <c r="S33" s="12">
        <v>0</v>
      </c>
      <c r="T33" s="3">
        <v>40</v>
      </c>
      <c r="U33" s="71">
        <f t="shared" si="13"/>
        <v>40</v>
      </c>
      <c r="V33" s="12">
        <f t="shared" si="14"/>
        <v>115</v>
      </c>
      <c r="W33" s="1">
        <f t="shared" si="15"/>
        <v>125</v>
      </c>
      <c r="X33" s="3">
        <v>135</v>
      </c>
      <c r="AA33" s="1">
        <v>30</v>
      </c>
      <c r="AB33" s="1">
        <v>35</v>
      </c>
      <c r="AC33" s="1">
        <v>5</v>
      </c>
      <c r="AD33" s="1">
        <v>21</v>
      </c>
      <c r="AE33" s="1">
        <v>1.7</v>
      </c>
      <c r="AF33" s="1">
        <v>21</v>
      </c>
    </row>
    <row r="34" spans="1:32" ht="13.5" thickBot="1" x14ac:dyDescent="0.25">
      <c r="A34" s="83" t="s">
        <v>74</v>
      </c>
      <c r="B34" s="13"/>
      <c r="C34" s="4"/>
      <c r="D34" s="5"/>
      <c r="E34" s="112"/>
      <c r="F34" s="113"/>
      <c r="G34" s="114"/>
      <c r="H34" s="115"/>
      <c r="I34" s="113"/>
      <c r="J34" s="116"/>
      <c r="K34" s="13">
        <v>65</v>
      </c>
      <c r="L34" s="39" t="s">
        <v>54</v>
      </c>
      <c r="M34" s="5"/>
      <c r="N34" s="13">
        <v>70</v>
      </c>
      <c r="O34" s="92">
        <f>P34/2000</f>
        <v>4</v>
      </c>
      <c r="P34" s="93">
        <v>8000</v>
      </c>
      <c r="Q34" s="67">
        <v>0</v>
      </c>
      <c r="R34" s="67">
        <v>0</v>
      </c>
      <c r="S34" s="13">
        <v>0</v>
      </c>
      <c r="T34" s="5">
        <v>41</v>
      </c>
      <c r="U34" s="67">
        <f t="shared" si="13"/>
        <v>41</v>
      </c>
      <c r="V34" s="13">
        <f t="shared" si="14"/>
        <v>120</v>
      </c>
      <c r="W34" s="4">
        <f t="shared" si="15"/>
        <v>130</v>
      </c>
      <c r="X34" s="5">
        <v>140</v>
      </c>
      <c r="AA34" s="1">
        <v>35</v>
      </c>
      <c r="AB34" s="1">
        <v>36</v>
      </c>
      <c r="AC34" s="1">
        <v>7</v>
      </c>
      <c r="AD34" s="1">
        <v>22</v>
      </c>
      <c r="AE34" s="1">
        <v>2</v>
      </c>
      <c r="AF34" s="1">
        <v>22</v>
      </c>
    </row>
    <row r="35" spans="1:32" x14ac:dyDescent="0.2">
      <c r="AA35" s="1">
        <v>40</v>
      </c>
      <c r="AB35" s="1">
        <v>37</v>
      </c>
      <c r="AC35" s="1">
        <v>10</v>
      </c>
      <c r="AD35" s="1">
        <v>23</v>
      </c>
      <c r="AE35" s="1">
        <v>2.4</v>
      </c>
      <c r="AF35" s="1">
        <v>23</v>
      </c>
    </row>
    <row r="36" spans="1:32" ht="15" thickBot="1" x14ac:dyDescent="0.3">
      <c r="N36" s="273" t="s">
        <v>126</v>
      </c>
      <c r="O36" s="273"/>
      <c r="Q36" s="130" t="s">
        <v>107</v>
      </c>
      <c r="V36" s="130" t="s">
        <v>108</v>
      </c>
      <c r="AA36" s="1">
        <v>45</v>
      </c>
      <c r="AB36" s="1">
        <v>38</v>
      </c>
      <c r="AC36" s="1">
        <v>14</v>
      </c>
      <c r="AD36" s="1">
        <v>24</v>
      </c>
      <c r="AE36" s="1">
        <v>3</v>
      </c>
      <c r="AF36" s="1">
        <v>24</v>
      </c>
    </row>
    <row r="37" spans="1:32" ht="18" x14ac:dyDescent="0.35">
      <c r="N37" s="41" t="s">
        <v>104</v>
      </c>
      <c r="O37" s="11" t="s">
        <v>127</v>
      </c>
      <c r="Q37" s="65" t="s">
        <v>30</v>
      </c>
      <c r="R37" s="65" t="s">
        <v>105</v>
      </c>
      <c r="S37" s="65" t="s">
        <v>105</v>
      </c>
      <c r="V37" s="65" t="s">
        <v>30</v>
      </c>
      <c r="W37" s="65" t="s">
        <v>109</v>
      </c>
      <c r="X37" s="65" t="s">
        <v>109</v>
      </c>
      <c r="Y37" s="37"/>
      <c r="Z37" s="37"/>
      <c r="AA37" s="1">
        <v>50</v>
      </c>
      <c r="AB37" s="1">
        <v>39</v>
      </c>
      <c r="AC37" s="1">
        <v>17</v>
      </c>
      <c r="AD37" s="1">
        <v>25</v>
      </c>
      <c r="AE37" s="1">
        <v>3.5</v>
      </c>
      <c r="AF37" s="1">
        <v>25</v>
      </c>
    </row>
    <row r="38" spans="1:32" x14ac:dyDescent="0.2">
      <c r="N38" s="62" t="s">
        <v>103</v>
      </c>
      <c r="O38" s="61" t="s">
        <v>103</v>
      </c>
      <c r="Q38" s="66" t="s">
        <v>3</v>
      </c>
      <c r="R38" s="66" t="s">
        <v>106</v>
      </c>
      <c r="S38" s="61" t="s">
        <v>169</v>
      </c>
      <c r="V38" s="66" t="s">
        <v>3</v>
      </c>
      <c r="W38" s="66" t="s">
        <v>110</v>
      </c>
      <c r="X38" s="61" t="s">
        <v>111</v>
      </c>
      <c r="AA38" s="1">
        <v>55</v>
      </c>
      <c r="AB38" s="1">
        <v>40</v>
      </c>
      <c r="AC38" s="1">
        <v>20</v>
      </c>
      <c r="AD38" s="1">
        <v>26</v>
      </c>
      <c r="AE38" s="1">
        <v>4</v>
      </c>
      <c r="AF38" s="1">
        <v>26</v>
      </c>
    </row>
    <row r="39" spans="1:32" ht="13.5" thickBot="1" x14ac:dyDescent="0.25">
      <c r="N39" s="13">
        <v>1167</v>
      </c>
      <c r="O39" s="5">
        <f>IF(N39&gt;11110,ROUND(N39*90,-5),IF(N39&gt;1110,ROUND(N39*90,-4),IF(N39&gt;110,ROUND(N39*90,-3),N39*90)))</f>
        <v>110000</v>
      </c>
      <c r="Q39" s="12">
        <v>0</v>
      </c>
      <c r="R39" s="31">
        <f t="shared" ref="R39:R41" si="16">Q39^2/4500</f>
        <v>0</v>
      </c>
      <c r="S39" s="28"/>
      <c r="V39" s="12">
        <v>50</v>
      </c>
      <c r="W39" s="1"/>
      <c r="X39" s="133">
        <f>(1/V39)^0.9*3.5+0.0025</f>
        <v>0.10601303456398196</v>
      </c>
      <c r="AA39" s="1">
        <v>65</v>
      </c>
      <c r="AB39" s="1">
        <v>41</v>
      </c>
      <c r="AC39" s="1">
        <v>24</v>
      </c>
      <c r="AD39" s="1">
        <v>27</v>
      </c>
      <c r="AE39" s="1">
        <v>4.5</v>
      </c>
      <c r="AF39" s="1">
        <v>27</v>
      </c>
    </row>
    <row r="40" spans="1:32" x14ac:dyDescent="0.2">
      <c r="Q40" s="12">
        <v>367.5</v>
      </c>
      <c r="R40" s="31">
        <f t="shared" si="16"/>
        <v>30.012499999999999</v>
      </c>
      <c r="S40" s="28">
        <f t="shared" ref="S40:S47" si="17">R40/Q40</f>
        <v>8.1666666666666665E-2</v>
      </c>
      <c r="T40">
        <v>50</v>
      </c>
      <c r="U40" s="1">
        <v>500</v>
      </c>
      <c r="V40" s="12">
        <v>367.5</v>
      </c>
      <c r="W40" s="1">
        <v>0.02</v>
      </c>
      <c r="X40" s="133">
        <f>(1/V40)^0.9*3.5+0.0025</f>
        <v>1.9692397162991409E-2</v>
      </c>
      <c r="AC40" s="1">
        <v>28</v>
      </c>
      <c r="AD40" s="1">
        <v>28</v>
      </c>
      <c r="AE40" s="1">
        <v>5</v>
      </c>
      <c r="AF40" s="1">
        <v>28</v>
      </c>
    </row>
    <row r="41" spans="1:32" x14ac:dyDescent="0.2">
      <c r="Q41" s="12">
        <v>500</v>
      </c>
      <c r="R41" s="31">
        <f t="shared" si="16"/>
        <v>55.555555555555557</v>
      </c>
      <c r="S41" s="28">
        <f t="shared" si="17"/>
        <v>0.11111111111111112</v>
      </c>
      <c r="V41" s="12">
        <v>500</v>
      </c>
      <c r="W41" s="1">
        <v>1.6E-2</v>
      </c>
      <c r="X41" s="134">
        <f t="shared" ref="X41:X48" si="18">(1/V41)^0.9*3.5+0.0025</f>
        <v>1.5531518966452487E-2</v>
      </c>
      <c r="AC41" s="1">
        <v>32</v>
      </c>
      <c r="AD41" s="1">
        <v>29</v>
      </c>
      <c r="AE41" s="1">
        <v>6</v>
      </c>
      <c r="AF41" s="1">
        <v>29</v>
      </c>
    </row>
    <row r="42" spans="1:32" x14ac:dyDescent="0.2">
      <c r="Q42" s="12">
        <v>671.5</v>
      </c>
      <c r="R42" s="31">
        <f>Q42^2/4500</f>
        <v>100.20272222222222</v>
      </c>
      <c r="S42" s="28">
        <f t="shared" si="17"/>
        <v>0.14922222222222223</v>
      </c>
      <c r="T42">
        <v>500</v>
      </c>
      <c r="U42" s="1">
        <v>1000</v>
      </c>
      <c r="V42" s="12">
        <v>850</v>
      </c>
      <c r="W42" s="1">
        <v>0.01</v>
      </c>
      <c r="X42" s="133">
        <f t="shared" si="18"/>
        <v>1.0583343067500944E-2</v>
      </c>
      <c r="AC42" s="1">
        <v>36</v>
      </c>
      <c r="AD42" s="1">
        <v>30</v>
      </c>
      <c r="AE42" s="1">
        <v>7</v>
      </c>
      <c r="AF42" s="1">
        <v>30</v>
      </c>
    </row>
    <row r="43" spans="1:32" x14ac:dyDescent="0.2">
      <c r="Q43" s="12">
        <v>1000</v>
      </c>
      <c r="R43" s="31">
        <f t="shared" ref="R43:R44" si="19">Q43^2/4500</f>
        <v>222.22222222222223</v>
      </c>
      <c r="S43" s="28">
        <f t="shared" si="17"/>
        <v>0.22222222222222224</v>
      </c>
      <c r="V43" s="12">
        <v>1000</v>
      </c>
      <c r="W43" s="1">
        <v>8.9999999999999993E-3</v>
      </c>
      <c r="X43" s="134">
        <f t="shared" si="18"/>
        <v>9.4834181023910787E-3</v>
      </c>
      <c r="AC43" s="1">
        <v>40</v>
      </c>
      <c r="AD43" s="1">
        <v>31</v>
      </c>
      <c r="AE43" s="1">
        <v>8.5</v>
      </c>
      <c r="AF43" s="1">
        <v>31</v>
      </c>
    </row>
    <row r="44" spans="1:32" x14ac:dyDescent="0.2">
      <c r="Q44" s="99">
        <f>AVERAGE(T44:U44)</f>
        <v>1500</v>
      </c>
      <c r="R44" s="131">
        <f t="shared" si="19"/>
        <v>500</v>
      </c>
      <c r="S44" s="132">
        <f t="shared" si="17"/>
        <v>0.33333333333333331</v>
      </c>
      <c r="T44">
        <v>1000</v>
      </c>
      <c r="U44" s="1">
        <v>2000</v>
      </c>
      <c r="V44" s="12">
        <f>AVERAGE(T44:U44)</f>
        <v>1500</v>
      </c>
      <c r="W44" s="1">
        <v>7.0000000000000001E-3</v>
      </c>
      <c r="X44" s="134">
        <f t="shared" si="18"/>
        <v>7.3482601037733256E-3</v>
      </c>
      <c r="AC44" s="1">
        <v>44</v>
      </c>
      <c r="AD44" s="1">
        <v>32</v>
      </c>
      <c r="AE44" s="1">
        <v>10</v>
      </c>
      <c r="AF44" s="1">
        <v>32</v>
      </c>
    </row>
    <row r="45" spans="1:32" x14ac:dyDescent="0.2">
      <c r="Q45" s="12">
        <v>2000</v>
      </c>
      <c r="R45" s="31">
        <f t="shared" ref="R45:R46" si="20">Q45/3</f>
        <v>666.66666666666663</v>
      </c>
      <c r="S45" s="28">
        <f t="shared" si="17"/>
        <v>0.33333333333333331</v>
      </c>
      <c r="V45" s="12">
        <v>2000</v>
      </c>
      <c r="W45" s="1">
        <v>6.0000000000000001E-3</v>
      </c>
      <c r="X45" s="134">
        <f t="shared" si="18"/>
        <v>6.2423210999691583E-3</v>
      </c>
      <c r="AC45" s="1">
        <v>48</v>
      </c>
      <c r="AD45" s="1">
        <v>33</v>
      </c>
      <c r="AE45" s="1">
        <v>12</v>
      </c>
      <c r="AF45" s="1">
        <v>33</v>
      </c>
    </row>
    <row r="46" spans="1:32" x14ac:dyDescent="0.2">
      <c r="Q46" s="12">
        <f>AVERAGE(T46:U46)</f>
        <v>3000</v>
      </c>
      <c r="R46" s="31">
        <f t="shared" si="20"/>
        <v>1000</v>
      </c>
      <c r="S46" s="28">
        <f t="shared" si="17"/>
        <v>0.33333333333333331</v>
      </c>
      <c r="T46">
        <v>2000</v>
      </c>
      <c r="U46" s="1">
        <v>4000</v>
      </c>
      <c r="V46" s="12">
        <f>AVERAGE(T46:U46)</f>
        <v>3000</v>
      </c>
      <c r="W46" s="1">
        <v>5.0000000000000001E-3</v>
      </c>
      <c r="X46" s="134">
        <f t="shared" si="18"/>
        <v>5.0981182593488553E-3</v>
      </c>
      <c r="AC46" s="1">
        <v>52</v>
      </c>
      <c r="AD46" s="1">
        <v>34</v>
      </c>
      <c r="AE46" s="1">
        <v>14</v>
      </c>
      <c r="AF46" s="1">
        <v>34</v>
      </c>
    </row>
    <row r="47" spans="1:32" x14ac:dyDescent="0.2">
      <c r="Q47" s="12">
        <v>4000</v>
      </c>
      <c r="R47" s="31">
        <f>Q47/3</f>
        <v>1333.3333333333333</v>
      </c>
      <c r="S47" s="28">
        <f t="shared" si="17"/>
        <v>0.33333333333333331</v>
      </c>
      <c r="V47" s="12">
        <v>4000</v>
      </c>
      <c r="W47" s="1">
        <v>4.4999999999999997E-3</v>
      </c>
      <c r="X47" s="135">
        <f t="shared" si="18"/>
        <v>4.5054602216182864E-3</v>
      </c>
      <c r="AE47" s="1">
        <v>16.5</v>
      </c>
      <c r="AF47" s="1">
        <v>35</v>
      </c>
    </row>
    <row r="48" spans="1:32" ht="13.5" thickBot="1" x14ac:dyDescent="0.25">
      <c r="Q48" s="13">
        <f>AVERAGE(T48:U48)</f>
        <v>6000</v>
      </c>
      <c r="R48" s="32">
        <f t="shared" ref="R48" si="21">Q48/3</f>
        <v>2000</v>
      </c>
      <c r="S48" s="30">
        <f>R48/Q48</f>
        <v>0.33333333333333331</v>
      </c>
      <c r="T48">
        <v>4000</v>
      </c>
      <c r="U48" s="1">
        <v>8000</v>
      </c>
      <c r="V48" s="13">
        <f>AVERAGE(T48:U48)</f>
        <v>6000</v>
      </c>
      <c r="W48" s="4">
        <v>4.0000000000000001E-3</v>
      </c>
      <c r="X48" s="136">
        <f t="shared" si="18"/>
        <v>3.8922971014505444E-3</v>
      </c>
      <c r="AE48" s="1">
        <v>20</v>
      </c>
      <c r="AF48" s="1">
        <v>36</v>
      </c>
    </row>
    <row r="49" spans="14:32" x14ac:dyDescent="0.2">
      <c r="AE49" s="1">
        <v>28</v>
      </c>
      <c r="AF49" s="1">
        <v>37</v>
      </c>
    </row>
    <row r="50" spans="14:32" x14ac:dyDescent="0.2">
      <c r="AE50" s="1">
        <v>36</v>
      </c>
      <c r="AF50" s="1">
        <v>38</v>
      </c>
    </row>
    <row r="51" spans="14:32" x14ac:dyDescent="0.2">
      <c r="AE51" s="1">
        <v>44</v>
      </c>
      <c r="AF51" s="1">
        <v>39</v>
      </c>
    </row>
    <row r="52" spans="14:32" ht="15" thickBot="1" x14ac:dyDescent="0.3">
      <c r="R52" s="130" t="s">
        <v>117</v>
      </c>
      <c r="S52" s="1"/>
      <c r="U52"/>
      <c r="V52" s="52"/>
      <c r="W52" s="37"/>
      <c r="X52" s="130" t="s">
        <v>125</v>
      </c>
      <c r="AE52" s="1">
        <v>52</v>
      </c>
      <c r="AF52" s="1">
        <v>40</v>
      </c>
    </row>
    <row r="53" spans="14:32" ht="38.25" x14ac:dyDescent="0.25">
      <c r="P53" s="9"/>
      <c r="Q53" s="141" t="s">
        <v>112</v>
      </c>
      <c r="R53" s="142" t="s">
        <v>118</v>
      </c>
      <c r="S53" s="143" t="s">
        <v>113</v>
      </c>
      <c r="T53" s="143" t="s">
        <v>113</v>
      </c>
      <c r="U53" s="143" t="s">
        <v>114</v>
      </c>
      <c r="V53" s="144" t="s">
        <v>114</v>
      </c>
      <c r="X53" s="146" t="s">
        <v>122</v>
      </c>
      <c r="Y53" s="147" t="s">
        <v>123</v>
      </c>
      <c r="Z53" s="10" t="s">
        <v>124</v>
      </c>
      <c r="AA53" s="11" t="s">
        <v>124</v>
      </c>
      <c r="AE53" s="1"/>
      <c r="AF53" s="1"/>
    </row>
    <row r="54" spans="14:32" x14ac:dyDescent="0.2">
      <c r="P54" s="12"/>
      <c r="Q54" s="137"/>
      <c r="R54" s="1">
        <v>24</v>
      </c>
      <c r="S54" s="1">
        <v>0</v>
      </c>
      <c r="T54" s="139">
        <f t="shared" ref="T54:T62" si="22">(R54^6)/16000000-11.5</f>
        <v>0.44393600000000077</v>
      </c>
      <c r="U54" s="139">
        <v>0</v>
      </c>
      <c r="V54" s="3">
        <f>(R54^8)/12000000000-9</f>
        <v>0.17294284799999993</v>
      </c>
      <c r="X54" s="148" t="s">
        <v>119</v>
      </c>
      <c r="Y54" s="139">
        <v>395</v>
      </c>
      <c r="Z54" s="140">
        <v>5.0000000000000001E-4</v>
      </c>
      <c r="AA54" s="28">
        <f>1/(4.8*Y54)-0.00003</f>
        <v>4.9742616033755273E-4</v>
      </c>
      <c r="AE54" s="1"/>
      <c r="AF54" s="1"/>
    </row>
    <row r="55" spans="14:32" x14ac:dyDescent="0.2">
      <c r="P55" s="12"/>
      <c r="Q55" s="137"/>
      <c r="R55" s="1">
        <v>26</v>
      </c>
      <c r="S55" s="1">
        <v>5</v>
      </c>
      <c r="T55" s="139">
        <f t="shared" si="22"/>
        <v>7.8072359999999996</v>
      </c>
      <c r="U55" s="139">
        <v>7</v>
      </c>
      <c r="V55" s="3">
        <f t="shared" ref="V55:V62" si="23">(R55^8)/12000000000-9</f>
        <v>8.4022553813333332</v>
      </c>
      <c r="X55" s="148" t="s">
        <v>120</v>
      </c>
      <c r="Y55" s="139">
        <v>1125</v>
      </c>
      <c r="Z55" s="140">
        <v>1E-4</v>
      </c>
      <c r="AA55" s="28">
        <f t="shared" ref="AA55:AA56" si="24">1/(4.8*Y55)-0.00003</f>
        <v>1.5518518518518518E-4</v>
      </c>
      <c r="AE55" s="1"/>
      <c r="AF55" s="1"/>
    </row>
    <row r="56" spans="14:32" ht="26.25" thickBot="1" x14ac:dyDescent="0.25">
      <c r="P56" s="12"/>
      <c r="Q56" s="137"/>
      <c r="R56" s="1">
        <v>28</v>
      </c>
      <c r="S56" s="1">
        <v>14</v>
      </c>
      <c r="T56" s="139">
        <f t="shared" si="22"/>
        <v>18.618144000000001</v>
      </c>
      <c r="U56" s="139">
        <v>19</v>
      </c>
      <c r="V56" s="3">
        <f t="shared" si="23"/>
        <v>22.483499861333332</v>
      </c>
      <c r="X56" s="149" t="s">
        <v>121</v>
      </c>
      <c r="Y56" s="145">
        <v>2500</v>
      </c>
      <c r="Z56" s="150">
        <v>5.0000000000000002E-5</v>
      </c>
      <c r="AA56" s="30">
        <f t="shared" si="24"/>
        <v>5.3333333333333333E-5</v>
      </c>
    </row>
    <row r="57" spans="14:32" x14ac:dyDescent="0.2">
      <c r="P57" s="12"/>
      <c r="Q57" s="138" t="s">
        <v>6</v>
      </c>
      <c r="R57" s="1">
        <v>29</v>
      </c>
      <c r="S57" s="1">
        <v>22</v>
      </c>
      <c r="T57" s="139">
        <f t="shared" si="22"/>
        <v>25.676457562499998</v>
      </c>
      <c r="U57" s="139">
        <v>29</v>
      </c>
      <c r="V57" s="3">
        <f t="shared" si="23"/>
        <v>32.687201080083334</v>
      </c>
    </row>
    <row r="58" spans="14:32" x14ac:dyDescent="0.2">
      <c r="P58" s="12"/>
      <c r="Q58" s="138" t="s">
        <v>115</v>
      </c>
      <c r="R58" s="1">
        <v>30</v>
      </c>
      <c r="S58" s="1">
        <v>33</v>
      </c>
      <c r="T58" s="139">
        <f t="shared" si="22"/>
        <v>34.0625</v>
      </c>
      <c r="U58" s="139">
        <v>50</v>
      </c>
      <c r="V58" s="3">
        <f t="shared" si="23"/>
        <v>45.674999999999997</v>
      </c>
    </row>
    <row r="59" spans="14:32" x14ac:dyDescent="0.2">
      <c r="P59" s="12"/>
      <c r="Q59" s="138" t="s">
        <v>7</v>
      </c>
      <c r="R59" s="1">
        <v>32</v>
      </c>
      <c r="S59" s="1">
        <v>60</v>
      </c>
      <c r="T59" s="139">
        <f t="shared" si="22"/>
        <v>55.608863999999997</v>
      </c>
      <c r="U59" s="139">
        <v>90</v>
      </c>
      <c r="V59" s="3">
        <f t="shared" si="23"/>
        <v>82.62596898133333</v>
      </c>
    </row>
    <row r="60" spans="14:32" x14ac:dyDescent="0.2">
      <c r="P60" s="12"/>
      <c r="Q60" s="138" t="s">
        <v>116</v>
      </c>
      <c r="R60" s="1">
        <v>34</v>
      </c>
      <c r="S60" s="1">
        <v>90</v>
      </c>
      <c r="T60" s="139">
        <f t="shared" si="22"/>
        <v>85.050275999999997</v>
      </c>
      <c r="U60" s="139">
        <v>150</v>
      </c>
      <c r="V60" s="3">
        <f t="shared" si="23"/>
        <v>139.81615874133334</v>
      </c>
    </row>
    <row r="61" spans="14:32" x14ac:dyDescent="0.2">
      <c r="P61" s="12"/>
      <c r="Q61" s="138" t="s">
        <v>8</v>
      </c>
      <c r="R61" s="1">
        <v>36</v>
      </c>
      <c r="S61" s="1">
        <v>125</v>
      </c>
      <c r="T61" s="139">
        <f t="shared" si="22"/>
        <v>124.54889600000001</v>
      </c>
      <c r="U61" s="139">
        <v>225</v>
      </c>
      <c r="V61" s="3">
        <f t="shared" si="23"/>
        <v>226.09249228799999</v>
      </c>
    </row>
    <row r="62" spans="14:32" ht="13.5" thickBot="1" x14ac:dyDescent="0.25">
      <c r="P62" s="13"/>
      <c r="Q62" s="4"/>
      <c r="R62" s="4">
        <v>40</v>
      </c>
      <c r="S62" s="29"/>
      <c r="T62" s="145">
        <f t="shared" si="22"/>
        <v>244.5</v>
      </c>
      <c r="U62" s="4"/>
      <c r="V62" s="5">
        <f t="shared" si="23"/>
        <v>537.13333333333333</v>
      </c>
    </row>
    <row r="64" spans="14:32" ht="15" thickBot="1" x14ac:dyDescent="0.3">
      <c r="N64" s="130" t="s">
        <v>133</v>
      </c>
      <c r="U64" s="130" t="s">
        <v>164</v>
      </c>
    </row>
    <row r="65" spans="14:25" ht="15.75" x14ac:dyDescent="0.3">
      <c r="N65" s="41" t="s">
        <v>128</v>
      </c>
      <c r="O65" s="10" t="s">
        <v>128</v>
      </c>
      <c r="P65" s="118" t="s">
        <v>150</v>
      </c>
      <c r="Q65" s="163" t="s">
        <v>150</v>
      </c>
      <c r="T65" s="1"/>
      <c r="U65" s="164" t="s">
        <v>135</v>
      </c>
      <c r="V65" s="10" t="s">
        <v>162</v>
      </c>
      <c r="W65" s="11" t="s">
        <v>167</v>
      </c>
      <c r="X65" s="11" t="s">
        <v>163</v>
      </c>
      <c r="Y65" s="11" t="s">
        <v>166</v>
      </c>
    </row>
    <row r="66" spans="14:25" x14ac:dyDescent="0.2">
      <c r="N66" s="62" t="s">
        <v>129</v>
      </c>
      <c r="O66" s="60" t="s">
        <v>130</v>
      </c>
      <c r="P66" s="60" t="s">
        <v>132</v>
      </c>
      <c r="Q66" s="61" t="s">
        <v>131</v>
      </c>
      <c r="R66"/>
      <c r="T66" s="1"/>
      <c r="U66" s="165" t="s">
        <v>82</v>
      </c>
      <c r="V66" s="60" t="s">
        <v>161</v>
      </c>
      <c r="W66" s="61" t="s">
        <v>103</v>
      </c>
      <c r="X66" s="61" t="s">
        <v>103</v>
      </c>
      <c r="Y66" s="61" t="s">
        <v>103</v>
      </c>
    </row>
    <row r="67" spans="14:25" x14ac:dyDescent="0.2">
      <c r="N67" s="12">
        <v>0</v>
      </c>
      <c r="O67" s="1">
        <f t="shared" ref="O67:O84" si="25">N67/100</f>
        <v>0</v>
      </c>
      <c r="P67" s="1">
        <v>0.03</v>
      </c>
      <c r="Q67" s="3">
        <v>0.03</v>
      </c>
      <c r="R67"/>
      <c r="T67" s="1"/>
      <c r="U67" s="81" t="s">
        <v>159</v>
      </c>
      <c r="V67" s="1">
        <v>175</v>
      </c>
      <c r="W67" s="3">
        <v>500</v>
      </c>
      <c r="X67" s="3">
        <v>1500</v>
      </c>
      <c r="Y67" s="3">
        <v>500</v>
      </c>
    </row>
    <row r="68" spans="14:25" x14ac:dyDescent="0.2">
      <c r="N68" s="12">
        <v>10</v>
      </c>
      <c r="O68" s="1">
        <f t="shared" si="25"/>
        <v>0.1</v>
      </c>
      <c r="P68" s="1">
        <v>0.04</v>
      </c>
      <c r="Q68" s="3">
        <v>0.04</v>
      </c>
      <c r="R68"/>
      <c r="T68" s="1"/>
      <c r="U68" s="81" t="s">
        <v>158</v>
      </c>
      <c r="V68" s="1">
        <v>181</v>
      </c>
      <c r="W68" s="3">
        <v>25000</v>
      </c>
      <c r="X68" s="3">
        <v>40000</v>
      </c>
      <c r="Y68" s="3">
        <v>15000</v>
      </c>
    </row>
    <row r="69" spans="14:25" x14ac:dyDescent="0.2">
      <c r="N69" s="151">
        <v>20</v>
      </c>
      <c r="O69" s="152">
        <f t="shared" si="25"/>
        <v>0.2</v>
      </c>
      <c r="P69" s="152">
        <v>0.05</v>
      </c>
      <c r="Q69" s="153">
        <v>0.05</v>
      </c>
      <c r="R69"/>
      <c r="T69" s="1"/>
      <c r="U69" s="81" t="s">
        <v>146</v>
      </c>
      <c r="V69" s="1">
        <v>170</v>
      </c>
      <c r="W69" s="3">
        <v>15000</v>
      </c>
      <c r="X69" s="3">
        <v>40000</v>
      </c>
      <c r="Y69" s="3">
        <v>15000</v>
      </c>
    </row>
    <row r="70" spans="14:25" x14ac:dyDescent="0.2">
      <c r="N70" s="12">
        <v>25</v>
      </c>
      <c r="O70" s="1">
        <f t="shared" si="25"/>
        <v>0.25</v>
      </c>
      <c r="P70" s="1">
        <v>7.0000000000000007E-2</v>
      </c>
      <c r="Q70" s="3">
        <v>0.06</v>
      </c>
      <c r="R70"/>
      <c r="T70" s="1"/>
      <c r="U70" s="81" t="s">
        <v>160</v>
      </c>
      <c r="V70" s="1">
        <v>175</v>
      </c>
      <c r="W70" s="3">
        <v>500</v>
      </c>
      <c r="X70" s="3">
        <v>1500</v>
      </c>
      <c r="Y70" s="3">
        <v>500</v>
      </c>
    </row>
    <row r="71" spans="14:25" x14ac:dyDescent="0.2">
      <c r="N71" s="12">
        <v>30</v>
      </c>
      <c r="O71" s="1">
        <f t="shared" si="25"/>
        <v>0.3</v>
      </c>
      <c r="P71" s="1">
        <v>0.09</v>
      </c>
      <c r="Q71" s="3">
        <v>7.0000000000000007E-2</v>
      </c>
      <c r="R71"/>
      <c r="T71" s="1"/>
      <c r="U71" s="81" t="s">
        <v>136</v>
      </c>
      <c r="V71" s="1">
        <v>175</v>
      </c>
      <c r="W71" s="3">
        <v>5000</v>
      </c>
      <c r="X71" s="3">
        <v>10000</v>
      </c>
      <c r="Y71" s="3">
        <v>3500</v>
      </c>
    </row>
    <row r="72" spans="14:25" x14ac:dyDescent="0.2">
      <c r="N72" s="12">
        <v>35</v>
      </c>
      <c r="O72" s="1">
        <f t="shared" si="25"/>
        <v>0.35</v>
      </c>
      <c r="P72" s="1">
        <v>0.1</v>
      </c>
      <c r="Q72" s="3">
        <v>0.08</v>
      </c>
      <c r="R72"/>
      <c r="T72" s="1"/>
      <c r="U72" s="81" t="s">
        <v>145</v>
      </c>
      <c r="V72" s="1">
        <v>175</v>
      </c>
      <c r="W72" s="3">
        <v>3500</v>
      </c>
      <c r="X72" s="3">
        <v>10000</v>
      </c>
      <c r="Y72" s="3">
        <v>2500</v>
      </c>
    </row>
    <row r="73" spans="14:25" ht="13.5" thickBot="1" x14ac:dyDescent="0.25">
      <c r="N73" s="12">
        <v>40</v>
      </c>
      <c r="O73" s="1">
        <f t="shared" si="25"/>
        <v>0.4</v>
      </c>
      <c r="P73" s="1">
        <v>0.11</v>
      </c>
      <c r="Q73" s="3">
        <v>0.09</v>
      </c>
      <c r="R73"/>
      <c r="T73" s="1"/>
      <c r="U73" s="83" t="s">
        <v>165</v>
      </c>
      <c r="V73" s="4">
        <v>170</v>
      </c>
      <c r="W73" s="5">
        <v>5000</v>
      </c>
      <c r="X73" s="5">
        <v>10000</v>
      </c>
      <c r="Y73" s="5">
        <v>3500</v>
      </c>
    </row>
    <row r="74" spans="14:25" x14ac:dyDescent="0.2">
      <c r="N74" s="12">
        <v>45</v>
      </c>
      <c r="O74" s="1">
        <f t="shared" si="25"/>
        <v>0.45</v>
      </c>
      <c r="P74" s="1">
        <v>0.12</v>
      </c>
      <c r="Q74" s="3">
        <v>9.5000000000000001E-2</v>
      </c>
      <c r="R74"/>
      <c r="T74" s="1"/>
      <c r="U74"/>
    </row>
    <row r="75" spans="14:25" x14ac:dyDescent="0.2">
      <c r="N75" s="151">
        <v>50</v>
      </c>
      <c r="O75" s="152">
        <f t="shared" si="25"/>
        <v>0.5</v>
      </c>
      <c r="P75" s="152">
        <v>0.15</v>
      </c>
      <c r="Q75" s="153">
        <v>0.1</v>
      </c>
      <c r="R75"/>
      <c r="T75" s="1"/>
      <c r="U75"/>
    </row>
    <row r="76" spans="14:25" x14ac:dyDescent="0.2">
      <c r="N76" s="12">
        <v>55</v>
      </c>
      <c r="O76" s="1">
        <f t="shared" si="25"/>
        <v>0.55000000000000004</v>
      </c>
      <c r="P76" s="1">
        <v>0.3</v>
      </c>
      <c r="Q76" s="3">
        <v>0.105</v>
      </c>
      <c r="R76"/>
      <c r="T76" s="1"/>
      <c r="U76"/>
    </row>
    <row r="77" spans="14:25" x14ac:dyDescent="0.2">
      <c r="N77" s="12">
        <v>60</v>
      </c>
      <c r="O77" s="1">
        <f t="shared" si="25"/>
        <v>0.6</v>
      </c>
      <c r="P77" s="1">
        <v>0.5</v>
      </c>
      <c r="Q77" s="3">
        <v>0.11</v>
      </c>
      <c r="R77"/>
      <c r="T77" s="1"/>
      <c r="U77"/>
    </row>
    <row r="78" spans="14:25" x14ac:dyDescent="0.2">
      <c r="N78" s="12">
        <v>65</v>
      </c>
      <c r="O78" s="1">
        <f t="shared" si="25"/>
        <v>0.65</v>
      </c>
      <c r="P78" s="1">
        <v>0.6</v>
      </c>
      <c r="Q78" s="3">
        <v>0.115</v>
      </c>
      <c r="R78"/>
      <c r="T78" s="1"/>
      <c r="U78"/>
    </row>
    <row r="79" spans="14:25" x14ac:dyDescent="0.2">
      <c r="N79" s="151">
        <v>70</v>
      </c>
      <c r="O79" s="152">
        <f t="shared" si="25"/>
        <v>0.7</v>
      </c>
      <c r="P79" s="152">
        <v>0.7</v>
      </c>
      <c r="Q79" s="153">
        <v>0.12</v>
      </c>
      <c r="R79"/>
      <c r="T79" s="1"/>
      <c r="U79"/>
    </row>
    <row r="80" spans="14:25" x14ac:dyDescent="0.2">
      <c r="N80" s="12">
        <v>75</v>
      </c>
      <c r="O80" s="1">
        <f t="shared" si="25"/>
        <v>0.75</v>
      </c>
      <c r="P80" s="1">
        <v>0.75</v>
      </c>
      <c r="Q80" s="3">
        <v>0.13</v>
      </c>
      <c r="R80"/>
      <c r="T80" s="1"/>
      <c r="U80"/>
    </row>
    <row r="81" spans="14:21" x14ac:dyDescent="0.2">
      <c r="N81" s="12">
        <v>80</v>
      </c>
      <c r="O81" s="1">
        <f t="shared" si="25"/>
        <v>0.8</v>
      </c>
      <c r="P81" s="1">
        <v>0.8</v>
      </c>
      <c r="Q81" s="3">
        <v>0.15</v>
      </c>
      <c r="R81"/>
      <c r="T81" s="1"/>
      <c r="U81"/>
    </row>
    <row r="82" spans="14:21" x14ac:dyDescent="0.2">
      <c r="N82" s="12">
        <v>85</v>
      </c>
      <c r="O82" s="1">
        <f t="shared" si="25"/>
        <v>0.85</v>
      </c>
      <c r="P82" s="1">
        <v>0.85</v>
      </c>
      <c r="Q82" s="3">
        <v>0.18</v>
      </c>
      <c r="R82"/>
      <c r="T82" s="1"/>
      <c r="U82"/>
    </row>
    <row r="83" spans="14:21" x14ac:dyDescent="0.2">
      <c r="N83" s="12">
        <v>90</v>
      </c>
      <c r="O83" s="1">
        <f t="shared" si="25"/>
        <v>0.9</v>
      </c>
      <c r="P83" s="1">
        <v>0.9</v>
      </c>
      <c r="Q83" s="3">
        <v>0.23</v>
      </c>
      <c r="R83"/>
      <c r="T83" s="1"/>
      <c r="U83"/>
    </row>
    <row r="84" spans="14:21" x14ac:dyDescent="0.2">
      <c r="N84" s="12">
        <v>95</v>
      </c>
      <c r="O84" s="1">
        <f t="shared" si="25"/>
        <v>0.95</v>
      </c>
      <c r="P84" s="1">
        <v>0.95</v>
      </c>
      <c r="Q84" s="3">
        <v>0.4</v>
      </c>
      <c r="R84"/>
      <c r="T84" s="1"/>
      <c r="U84"/>
    </row>
    <row r="85" spans="14:21" ht="13.5" thickBot="1" x14ac:dyDescent="0.25">
      <c r="N85" s="154">
        <v>100</v>
      </c>
      <c r="O85" s="155">
        <f>N85/100</f>
        <v>1</v>
      </c>
      <c r="P85" s="155">
        <v>1</v>
      </c>
      <c r="Q85" s="156">
        <v>0.6</v>
      </c>
      <c r="R85"/>
      <c r="T85" s="1"/>
      <c r="U85"/>
    </row>
    <row r="86" spans="14:21" x14ac:dyDescent="0.2">
      <c r="U86"/>
    </row>
  </sheetData>
  <sortState xmlns:xlrd2="http://schemas.microsoft.com/office/spreadsheetml/2017/richdata2" ref="U67:W73">
    <sortCondition ref="U67:U73"/>
  </sortState>
  <mergeCells count="5">
    <mergeCell ref="AA22:AB22"/>
    <mergeCell ref="AC22:AD22"/>
    <mergeCell ref="N36:O36"/>
    <mergeCell ref="S3:T3"/>
    <mergeCell ref="S21:T21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71ea4d20-2f94-44bc-a7a5-2fdb2b42bcc9">LPILE Analysis</Applicatio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617B982CC17F45B3DEA5C96B7F7DB2" ma:contentTypeVersion="1" ma:contentTypeDescription="Create a new document." ma:contentTypeScope="" ma:versionID="24d3f72cdce74ec3cac8e66f9756f2a0">
  <xsd:schema xmlns:xsd="http://www.w3.org/2001/XMLSchema" xmlns:xs="http://www.w3.org/2001/XMLSchema" xmlns:p="http://schemas.microsoft.com/office/2006/metadata/properties" xmlns:ns2="71ea4d20-2f94-44bc-a7a5-2fdb2b42bcc9" targetNamespace="http://schemas.microsoft.com/office/2006/metadata/properties" ma:root="true" ma:fieldsID="341d344661dac2b4a421373e345830ef" ns2:_="">
    <xsd:import namespace="71ea4d20-2f94-44bc-a7a5-2fdb2b42bcc9"/>
    <xsd:element name="properties">
      <xsd:complexType>
        <xsd:sequence>
          <xsd:element name="documentManagement">
            <xsd:complexType>
              <xsd:all>
                <xsd:element ref="ns2:Appl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a4d20-2f94-44bc-a7a5-2fdb2b42bcc9" elementFormDefault="qualified">
    <xsd:import namespace="http://schemas.microsoft.com/office/2006/documentManagement/types"/>
    <xsd:import namespace="http://schemas.microsoft.com/office/infopath/2007/PartnerControls"/>
    <xsd:element name="Application" ma:index="8" ma:displayName="Application" ma:description="Application Type for this Spreadsheet" ma:format="Dropdown" ma:internalName="Application">
      <xsd:simpleType>
        <xsd:restriction base="dms:Choice">
          <xsd:enumeration value="(ASD) Box Culvert"/>
          <xsd:enumeration value="(ASD) Headwalls/Wingwalls"/>
          <xsd:enumeration value="(ASD) Spread Footing"/>
          <xsd:enumeration value="(ASD) Steel Beam Analysis"/>
          <xsd:enumeration value="(LRFD) Drilled Shaft Foundations"/>
          <xsd:enumeration value="(LRFD) Drilled Shaft Walls"/>
          <xsd:enumeration value="(LRFD) Gravity Walls"/>
          <xsd:enumeration value="(LRFD) Reinforced Soil Slope"/>
          <xsd:enumeration value="(LRFD) Spread Footing"/>
          <xsd:enumeration value="(LRFD) Tieback Anchor Walls"/>
          <xsd:enumeration value="Drilled Shaft Reinforcement"/>
          <xsd:enumeration value="Drilled Shaft Wall Loading"/>
          <xsd:enumeration value="Drilled Shaft Wall Resistance"/>
          <xsd:enumeration value="Driven Piles"/>
          <xsd:enumeration value="Earth Pressure"/>
          <xsd:enumeration value="Liang Analysis"/>
          <xsd:enumeration value="LPILE Analysis"/>
          <xsd:enumeration value="MSE Walls"/>
          <xsd:enumeration value="Retaining Wall Costs"/>
          <xsd:enumeration value="Rockfall"/>
          <xsd:enumeration value="Settlement"/>
          <xsd:enumeration value="Sheetpile"/>
          <xsd:enumeration value="Soil Classification"/>
          <xsd:enumeration value="Soil Strength"/>
          <xsd:enumeration value="Subgrade Resiliant Modulu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D8CBE-4081-426D-AB12-23902DAC56EE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71ea4d20-2f94-44bc-a7a5-2fdb2b42bcc9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65CDF25-F49D-43F5-BBC9-5281874AC7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FED72A-4380-4E4D-86B4-5C3D8DBB0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a4d20-2f94-44bc-a7a5-2fdb2b42b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Chart</vt:lpstr>
      <vt:lpstr>Lookups</vt:lpstr>
      <vt:lpstr>E_w</vt:lpstr>
      <vt:lpstr>f_1</vt:lpstr>
      <vt:lpstr>p_a</vt:lpstr>
      <vt:lpstr>Chart!Print_Area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LPILE Soil Layer Input Values</dc:title>
  <dc:creator>IT CADD Section</dc:creator>
  <cp:lastModifiedBy>Christopher Notz</cp:lastModifiedBy>
  <cp:lastPrinted>2015-03-02T14:41:15Z</cp:lastPrinted>
  <dcterms:created xsi:type="dcterms:W3CDTF">2001-08-10T11:46:04Z</dcterms:created>
  <dcterms:modified xsi:type="dcterms:W3CDTF">2023-08-03T13:51:32Z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0x01010024617B982CC17F45B3DEA5C96B7F7DB2</vt:lpwstr>
  </property>
</Properties>
</file>